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30" windowWidth="24915" windowHeight="11895" tabRatio="697" firstSheet="8" activeTab="16"/>
  </bookViews>
  <sheets>
    <sheet name="Cumulative 18-19 Totals" sheetId="1" r:id="rId1"/>
    <sheet name="DPS 18-19" sheetId="10" r:id="rId2"/>
    <sheet name="TMD 18-19" sheetId="9" r:id="rId3"/>
    <sheet name="TMD Sup." sheetId="15" r:id="rId4"/>
    <sheet name="TPWD 18-19" sheetId="11" r:id="rId5"/>
    <sheet name="TDCJ 18-19" sheetId="7" r:id="rId6"/>
    <sheet name="TFC 18-19" sheetId="2" r:id="rId7"/>
    <sheet name="TxDOT 18-19" sheetId="12" r:id="rId8"/>
    <sheet name="TxDOT Space Needs" sheetId="16" r:id="rId9"/>
    <sheet name="TxDOT New Construction 18-19" sheetId="18" r:id="rId10"/>
    <sheet name="THC 18-19" sheetId="3" r:id="rId11"/>
    <sheet name="THC Sup." sheetId="14" r:id="rId12"/>
    <sheet name="SPB 18-19" sheetId="4" r:id="rId13"/>
    <sheet name="DSHS 18-19" sheetId="17" r:id="rId14"/>
    <sheet name="HHSC 18-19 State Hospitals " sheetId="13" r:id="rId15"/>
    <sheet name="HHSC 18-19 SSLC" sheetId="6" r:id="rId16"/>
    <sheet name="JJD 18-19" sheetId="8" r:id="rId17"/>
  </sheets>
  <externalReferences>
    <externalReference r:id="rId18"/>
  </externalReferences>
  <calcPr calcId="145621"/>
</workbook>
</file>

<file path=xl/calcChain.xml><?xml version="1.0" encoding="utf-8"?>
<calcChain xmlns="http://schemas.openxmlformats.org/spreadsheetml/2006/main">
  <c r="T25" i="18" l="1"/>
  <c r="S23" i="18"/>
  <c r="R23" i="18"/>
  <c r="M23" i="18"/>
  <c r="T22" i="18"/>
  <c r="N22" i="18"/>
  <c r="N21" i="18"/>
  <c r="T21" i="18" s="1"/>
  <c r="T20" i="18"/>
  <c r="N20" i="18"/>
  <c r="N19" i="18"/>
  <c r="T19" i="18" s="1"/>
  <c r="T18" i="18"/>
  <c r="N18" i="18"/>
  <c r="N17" i="18"/>
  <c r="T17" i="18" s="1"/>
  <c r="T16" i="18"/>
  <c r="N16" i="18"/>
  <c r="N15" i="18"/>
  <c r="T15" i="18" s="1"/>
  <c r="T14" i="18"/>
  <c r="N14" i="18"/>
  <c r="N13" i="18"/>
  <c r="T13" i="18" s="1"/>
  <c r="T12" i="18"/>
  <c r="N12" i="18"/>
  <c r="N11" i="18"/>
  <c r="T11" i="18" s="1"/>
  <c r="T10" i="18"/>
  <c r="N10" i="18"/>
  <c r="A10" i="18"/>
  <c r="A11" i="18" s="1"/>
  <c r="A12" i="18" s="1"/>
  <c r="A13" i="18" s="1"/>
  <c r="A14" i="18" s="1"/>
  <c r="A15" i="18" s="1"/>
  <c r="A16" i="18" s="1"/>
  <c r="A17" i="18" s="1"/>
  <c r="A18" i="18" s="1"/>
  <c r="A19" i="18" s="1"/>
  <c r="A20" i="18" s="1"/>
  <c r="A21" i="18" s="1"/>
  <c r="A22" i="18" s="1"/>
  <c r="N9" i="18"/>
  <c r="N23" i="18" s="1"/>
  <c r="A9" i="18"/>
  <c r="T8" i="18"/>
  <c r="N8" i="18"/>
  <c r="S190" i="12"/>
  <c r="R190" i="12"/>
  <c r="M190" i="12"/>
  <c r="T189" i="12"/>
  <c r="N189" i="12"/>
  <c r="T188" i="12"/>
  <c r="N188" i="12"/>
  <c r="N187" i="12"/>
  <c r="T187" i="12" s="1"/>
  <c r="T186" i="12"/>
  <c r="N186" i="12"/>
  <c r="N185" i="12"/>
  <c r="T185" i="12" s="1"/>
  <c r="T184" i="12"/>
  <c r="N184" i="12"/>
  <c r="N183" i="12"/>
  <c r="T183" i="12" s="1"/>
  <c r="T182" i="12"/>
  <c r="N182" i="12"/>
  <c r="N181" i="12"/>
  <c r="T181" i="12" s="1"/>
  <c r="T180" i="12"/>
  <c r="N180" i="12"/>
  <c r="N179" i="12"/>
  <c r="T179" i="12" s="1"/>
  <c r="T178" i="12"/>
  <c r="N178" i="12"/>
  <c r="N177" i="12"/>
  <c r="T177" i="12" s="1"/>
  <c r="T176" i="12"/>
  <c r="N176" i="12"/>
  <c r="N175" i="12"/>
  <c r="T175" i="12" s="1"/>
  <c r="T174" i="12"/>
  <c r="N174" i="12"/>
  <c r="N173" i="12"/>
  <c r="T173" i="12" s="1"/>
  <c r="T172" i="12"/>
  <c r="N172" i="12"/>
  <c r="N171" i="12"/>
  <c r="T171" i="12" s="1"/>
  <c r="T170" i="12"/>
  <c r="N170" i="12"/>
  <c r="N169" i="12"/>
  <c r="T169" i="12" s="1"/>
  <c r="T168" i="12"/>
  <c r="N168" i="12"/>
  <c r="N167" i="12"/>
  <c r="T167" i="12" s="1"/>
  <c r="T166" i="12"/>
  <c r="N166" i="12"/>
  <c r="N165" i="12"/>
  <c r="T165" i="12" s="1"/>
  <c r="T164" i="12"/>
  <c r="N164" i="12"/>
  <c r="N163" i="12"/>
  <c r="T163" i="12" s="1"/>
  <c r="T162" i="12"/>
  <c r="N162" i="12"/>
  <c r="N161" i="12"/>
  <c r="T161" i="12" s="1"/>
  <c r="T160" i="12"/>
  <c r="N160" i="12"/>
  <c r="N159" i="12"/>
  <c r="T159" i="12" s="1"/>
  <c r="T158" i="12"/>
  <c r="N158" i="12"/>
  <c r="N157" i="12"/>
  <c r="T157" i="12" s="1"/>
  <c r="T156" i="12"/>
  <c r="N156" i="12"/>
  <c r="N155" i="12"/>
  <c r="T155" i="12" s="1"/>
  <c r="T154" i="12"/>
  <c r="N154" i="12"/>
  <c r="N153" i="12"/>
  <c r="T153" i="12" s="1"/>
  <c r="T152" i="12"/>
  <c r="N152" i="12"/>
  <c r="N151" i="12"/>
  <c r="T151" i="12" s="1"/>
  <c r="T150" i="12"/>
  <c r="N150" i="12"/>
  <c r="N149" i="12"/>
  <c r="T149" i="12" s="1"/>
  <c r="T148" i="12"/>
  <c r="N148" i="12"/>
  <c r="N147" i="12"/>
  <c r="T147" i="12" s="1"/>
  <c r="T146" i="12"/>
  <c r="N146" i="12"/>
  <c r="N145" i="12"/>
  <c r="T145" i="12" s="1"/>
  <c r="T144" i="12"/>
  <c r="N144" i="12"/>
  <c r="N143" i="12"/>
  <c r="T143" i="12" s="1"/>
  <c r="T142" i="12"/>
  <c r="N142" i="12"/>
  <c r="N141" i="12"/>
  <c r="T141" i="12" s="1"/>
  <c r="T140" i="12"/>
  <c r="N140" i="12"/>
  <c r="N139" i="12"/>
  <c r="T139" i="12" s="1"/>
  <c r="T138" i="12"/>
  <c r="N138" i="12"/>
  <c r="N137" i="12"/>
  <c r="T137" i="12" s="1"/>
  <c r="T136" i="12"/>
  <c r="N136" i="12"/>
  <c r="N135" i="12"/>
  <c r="T135" i="12" s="1"/>
  <c r="T134" i="12"/>
  <c r="N134" i="12"/>
  <c r="N133" i="12"/>
  <c r="T133" i="12" s="1"/>
  <c r="T132" i="12"/>
  <c r="N132" i="12"/>
  <c r="N131" i="12"/>
  <c r="T131" i="12" s="1"/>
  <c r="T130" i="12"/>
  <c r="N130" i="12"/>
  <c r="N129" i="12"/>
  <c r="T129" i="12" s="1"/>
  <c r="T128" i="12"/>
  <c r="N128" i="12"/>
  <c r="N127" i="12"/>
  <c r="T127" i="12" s="1"/>
  <c r="T126" i="12"/>
  <c r="N126" i="12"/>
  <c r="N125" i="12"/>
  <c r="T125" i="12" s="1"/>
  <c r="T124" i="12"/>
  <c r="N124" i="12"/>
  <c r="N123" i="12"/>
  <c r="T123" i="12" s="1"/>
  <c r="T122" i="12"/>
  <c r="N122" i="12"/>
  <c r="N121" i="12"/>
  <c r="T121" i="12" s="1"/>
  <c r="T120" i="12"/>
  <c r="N120" i="12"/>
  <c r="N119" i="12"/>
  <c r="T119" i="12" s="1"/>
  <c r="T118" i="12"/>
  <c r="N118" i="12"/>
  <c r="N117" i="12"/>
  <c r="T117" i="12" s="1"/>
  <c r="T116" i="12"/>
  <c r="N116" i="12"/>
  <c r="N115" i="12"/>
  <c r="T115" i="12" s="1"/>
  <c r="T114" i="12"/>
  <c r="N114" i="12"/>
  <c r="N113" i="12"/>
  <c r="T113" i="12" s="1"/>
  <c r="T112" i="12"/>
  <c r="N112" i="12"/>
  <c r="N111" i="12"/>
  <c r="T111" i="12" s="1"/>
  <c r="T110" i="12"/>
  <c r="N110" i="12"/>
  <c r="N109" i="12"/>
  <c r="T109" i="12" s="1"/>
  <c r="T108" i="12"/>
  <c r="N108" i="12"/>
  <c r="N107" i="12"/>
  <c r="T107" i="12" s="1"/>
  <c r="T106" i="12"/>
  <c r="N106" i="12"/>
  <c r="N105" i="12"/>
  <c r="T105" i="12" s="1"/>
  <c r="N104" i="12"/>
  <c r="T104" i="12" s="1"/>
  <c r="T103" i="12"/>
  <c r="N103" i="12"/>
  <c r="N102" i="12"/>
  <c r="T102" i="12" s="1"/>
  <c r="T101" i="12"/>
  <c r="N101" i="12"/>
  <c r="N100" i="12"/>
  <c r="T100" i="12" s="1"/>
  <c r="T99" i="12"/>
  <c r="N99" i="12"/>
  <c r="N98" i="12"/>
  <c r="T98" i="12" s="1"/>
  <c r="T97" i="12"/>
  <c r="N97" i="12"/>
  <c r="N96" i="12"/>
  <c r="T96" i="12" s="1"/>
  <c r="T95" i="12"/>
  <c r="N95" i="12"/>
  <c r="N94" i="12"/>
  <c r="T94" i="12" s="1"/>
  <c r="T93" i="12"/>
  <c r="N93" i="12"/>
  <c r="N92" i="12"/>
  <c r="T92" i="12" s="1"/>
  <c r="T91" i="12"/>
  <c r="N91" i="12"/>
  <c r="N90" i="12"/>
  <c r="T90" i="12" s="1"/>
  <c r="T89" i="12"/>
  <c r="N89" i="12"/>
  <c r="N88" i="12"/>
  <c r="T88" i="12" s="1"/>
  <c r="T87" i="12"/>
  <c r="N87" i="12"/>
  <c r="N86" i="12"/>
  <c r="T86" i="12" s="1"/>
  <c r="T85" i="12"/>
  <c r="N85" i="12"/>
  <c r="N84" i="12"/>
  <c r="T84" i="12" s="1"/>
  <c r="T83" i="12"/>
  <c r="N83" i="12"/>
  <c r="N82" i="12"/>
  <c r="T82" i="12" s="1"/>
  <c r="T81" i="12"/>
  <c r="N81" i="12"/>
  <c r="N80" i="12"/>
  <c r="T80" i="12" s="1"/>
  <c r="T79" i="12"/>
  <c r="N79" i="12"/>
  <c r="N78" i="12"/>
  <c r="T78" i="12" s="1"/>
  <c r="T77" i="12"/>
  <c r="N77" i="12"/>
  <c r="N76" i="12"/>
  <c r="T76" i="12" s="1"/>
  <c r="T75" i="12"/>
  <c r="N75" i="12"/>
  <c r="N74" i="12"/>
  <c r="T74" i="12" s="1"/>
  <c r="T73" i="12"/>
  <c r="N73" i="12"/>
  <c r="N72" i="12"/>
  <c r="T72" i="12" s="1"/>
  <c r="T71" i="12"/>
  <c r="N71" i="12"/>
  <c r="N70" i="12"/>
  <c r="T70" i="12" s="1"/>
  <c r="T69" i="12"/>
  <c r="N69" i="12"/>
  <c r="N68" i="12"/>
  <c r="T68" i="12" s="1"/>
  <c r="T67" i="12"/>
  <c r="N67" i="12"/>
  <c r="N66" i="12"/>
  <c r="T66" i="12" s="1"/>
  <c r="T65" i="12"/>
  <c r="N65" i="12"/>
  <c r="N64" i="12"/>
  <c r="T64" i="12" s="1"/>
  <c r="T63" i="12"/>
  <c r="N63" i="12"/>
  <c r="N62" i="12"/>
  <c r="T62" i="12" s="1"/>
  <c r="T61" i="12"/>
  <c r="N61" i="12"/>
  <c r="N60" i="12"/>
  <c r="T60" i="12" s="1"/>
  <c r="T59" i="12"/>
  <c r="N59" i="12"/>
  <c r="N58" i="12"/>
  <c r="T58" i="12" s="1"/>
  <c r="T57" i="12"/>
  <c r="N57" i="12"/>
  <c r="N56" i="12"/>
  <c r="T56" i="12" s="1"/>
  <c r="T55" i="12"/>
  <c r="N55" i="12"/>
  <c r="N54" i="12"/>
  <c r="T54" i="12" s="1"/>
  <c r="T53" i="12"/>
  <c r="N53" i="12"/>
  <c r="N52" i="12"/>
  <c r="T52" i="12" s="1"/>
  <c r="T51" i="12"/>
  <c r="N51" i="12"/>
  <c r="N50" i="12"/>
  <c r="T50" i="12" s="1"/>
  <c r="T49" i="12"/>
  <c r="N49" i="12"/>
  <c r="N48" i="12"/>
  <c r="T48" i="12" s="1"/>
  <c r="T47" i="12"/>
  <c r="N47" i="12"/>
  <c r="N46" i="12"/>
  <c r="T46" i="12" s="1"/>
  <c r="T45" i="12"/>
  <c r="N45" i="12"/>
  <c r="N44" i="12"/>
  <c r="T44" i="12" s="1"/>
  <c r="T43" i="12"/>
  <c r="N43" i="12"/>
  <c r="N42" i="12"/>
  <c r="T42" i="12" s="1"/>
  <c r="T41" i="12"/>
  <c r="N41" i="12"/>
  <c r="N40" i="12"/>
  <c r="T40" i="12" s="1"/>
  <c r="T39" i="12"/>
  <c r="N39" i="12"/>
  <c r="N38" i="12"/>
  <c r="T38" i="12" s="1"/>
  <c r="T37" i="12"/>
  <c r="N37" i="12"/>
  <c r="N36" i="12"/>
  <c r="T36" i="12" s="1"/>
  <c r="T35" i="12"/>
  <c r="N35" i="12"/>
  <c r="N34" i="12"/>
  <c r="T34" i="12" s="1"/>
  <c r="T33" i="12"/>
  <c r="N33" i="12"/>
  <c r="N32" i="12"/>
  <c r="T32" i="12" s="1"/>
  <c r="T31" i="12"/>
  <c r="N31" i="12"/>
  <c r="N30" i="12"/>
  <c r="T30" i="12" s="1"/>
  <c r="T29" i="12"/>
  <c r="N29" i="12"/>
  <c r="N28" i="12"/>
  <c r="T28" i="12" s="1"/>
  <c r="T27" i="12"/>
  <c r="N27" i="12"/>
  <c r="N26" i="12"/>
  <c r="T26" i="12" s="1"/>
  <c r="T25" i="12"/>
  <c r="N25" i="12"/>
  <c r="N24" i="12"/>
  <c r="T24" i="12" s="1"/>
  <c r="T23" i="12"/>
  <c r="N23" i="12"/>
  <c r="N22" i="12"/>
  <c r="T22" i="12" s="1"/>
  <c r="T21" i="12"/>
  <c r="N21" i="12"/>
  <c r="N20" i="12"/>
  <c r="T20" i="12" s="1"/>
  <c r="T19" i="12"/>
  <c r="N19" i="12"/>
  <c r="N18" i="12"/>
  <c r="T18" i="12" s="1"/>
  <c r="T17" i="12"/>
  <c r="N17" i="12"/>
  <c r="N16" i="12"/>
  <c r="T16" i="12" s="1"/>
  <c r="T15" i="12"/>
  <c r="N15" i="12"/>
  <c r="A15" i="12"/>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98" i="12" s="1"/>
  <c r="A99" i="12" s="1"/>
  <c r="A100" i="12" s="1"/>
  <c r="A101" i="12" s="1"/>
  <c r="A102" i="12" s="1"/>
  <c r="A103" i="12" s="1"/>
  <c r="A104" i="12" s="1"/>
  <c r="A105" i="12" s="1"/>
  <c r="A106" i="12" s="1"/>
  <c r="A107" i="12" s="1"/>
  <c r="A108" i="12" s="1"/>
  <c r="A109" i="12" s="1"/>
  <c r="A110" i="12" s="1"/>
  <c r="A111" i="12" s="1"/>
  <c r="A112" i="12" s="1"/>
  <c r="A113" i="12" s="1"/>
  <c r="A114" i="12" s="1"/>
  <c r="A115" i="12" s="1"/>
  <c r="A116" i="12" s="1"/>
  <c r="A117" i="12" s="1"/>
  <c r="A118" i="12" s="1"/>
  <c r="A119" i="12" s="1"/>
  <c r="A120" i="12" s="1"/>
  <c r="A121" i="12" s="1"/>
  <c r="A122" i="12" s="1"/>
  <c r="A123" i="12" s="1"/>
  <c r="A124" i="12" s="1"/>
  <c r="A125" i="12" s="1"/>
  <c r="A126" i="12" s="1"/>
  <c r="A127" i="12" s="1"/>
  <c r="A128" i="12" s="1"/>
  <c r="A129" i="12" s="1"/>
  <c r="A130" i="12" s="1"/>
  <c r="A131" i="12" s="1"/>
  <c r="A132" i="12" s="1"/>
  <c r="A133" i="12" s="1"/>
  <c r="A134" i="12" s="1"/>
  <c r="A135" i="12" s="1"/>
  <c r="A136" i="12" s="1"/>
  <c r="A137" i="12" s="1"/>
  <c r="A138" i="12" s="1"/>
  <c r="A139" i="12" s="1"/>
  <c r="A140" i="12" s="1"/>
  <c r="A141" i="12" s="1"/>
  <c r="A142" i="12" s="1"/>
  <c r="A143" i="12" s="1"/>
  <c r="A144" i="12" s="1"/>
  <c r="A145" i="12" s="1"/>
  <c r="A146" i="12" s="1"/>
  <c r="A147" i="12" s="1"/>
  <c r="A148" i="12" s="1"/>
  <c r="A149" i="12" s="1"/>
  <c r="A150" i="12" s="1"/>
  <c r="A151" i="12" s="1"/>
  <c r="A152" i="12" s="1"/>
  <c r="A153" i="12" s="1"/>
  <c r="A154" i="12" s="1"/>
  <c r="A155" i="12" s="1"/>
  <c r="A156" i="12" s="1"/>
  <c r="A157" i="12" s="1"/>
  <c r="A158" i="12" s="1"/>
  <c r="A159" i="12" s="1"/>
  <c r="A160" i="12" s="1"/>
  <c r="A161" i="12" s="1"/>
  <c r="A162" i="12" s="1"/>
  <c r="A163" i="12" s="1"/>
  <c r="A164" i="12" s="1"/>
  <c r="A165" i="12" s="1"/>
  <c r="A166" i="12" s="1"/>
  <c r="A167" i="12" s="1"/>
  <c r="A168" i="12" s="1"/>
  <c r="A169" i="12" s="1"/>
  <c r="A170" i="12" s="1"/>
  <c r="A171" i="12" s="1"/>
  <c r="A172" i="12" s="1"/>
  <c r="A173" i="12" s="1"/>
  <c r="A174" i="12" s="1"/>
  <c r="A175" i="12" s="1"/>
  <c r="A176" i="12" s="1"/>
  <c r="A177" i="12" s="1"/>
  <c r="A178" i="12" s="1"/>
  <c r="A179" i="12" s="1"/>
  <c r="A180" i="12" s="1"/>
  <c r="A181" i="12" s="1"/>
  <c r="A182" i="12" s="1"/>
  <c r="A183" i="12" s="1"/>
  <c r="A184" i="12" s="1"/>
  <c r="A185" i="12" s="1"/>
  <c r="A186" i="12" s="1"/>
  <c r="A187" i="12" s="1"/>
  <c r="A188" i="12" s="1"/>
  <c r="N14" i="12"/>
  <c r="T14" i="12" s="1"/>
  <c r="N13" i="12"/>
  <c r="T13" i="12" s="1"/>
  <c r="N12" i="12"/>
  <c r="T12" i="12" s="1"/>
  <c r="N11" i="12"/>
  <c r="T11" i="12" s="1"/>
  <c r="N10" i="12"/>
  <c r="T10" i="12" s="1"/>
  <c r="N9" i="12"/>
  <c r="T9" i="12" s="1"/>
  <c r="N8" i="12"/>
  <c r="T23" i="18" l="1"/>
  <c r="T9" i="18"/>
  <c r="N190" i="12"/>
  <c r="T8" i="12"/>
  <c r="T190" i="12" s="1"/>
  <c r="L12" i="17" l="1"/>
  <c r="K12" i="17"/>
  <c r="G12" i="17"/>
  <c r="F12" i="17"/>
  <c r="M11" i="17"/>
  <c r="M10" i="17"/>
  <c r="M12" i="17" s="1"/>
  <c r="M9" i="17"/>
  <c r="F18" i="15" l="1"/>
  <c r="E18" i="15"/>
  <c r="C13" i="15"/>
  <c r="D13" i="15" s="1"/>
  <c r="G13" i="15" s="1"/>
  <c r="B13" i="15"/>
  <c r="D12" i="15"/>
  <c r="G12" i="15" s="1"/>
  <c r="C12" i="15"/>
  <c r="B12" i="15"/>
  <c r="D11" i="15"/>
  <c r="G11" i="15" s="1"/>
  <c r="C11" i="15"/>
  <c r="B11" i="15"/>
  <c r="D10" i="15"/>
  <c r="G10" i="15" s="1"/>
  <c r="C10" i="15"/>
  <c r="B10" i="15"/>
  <c r="D9" i="15"/>
  <c r="D18" i="15" s="1"/>
  <c r="C9" i="15"/>
  <c r="C18" i="15" s="1"/>
  <c r="B9" i="15"/>
  <c r="C2" i="15"/>
  <c r="J2" i="15" s="1"/>
  <c r="D20" i="15" l="1"/>
  <c r="D19" i="15"/>
  <c r="G9" i="15"/>
  <c r="G18" i="15" s="1"/>
  <c r="H16" i="1"/>
  <c r="H15" i="1"/>
  <c r="H14" i="1"/>
  <c r="H13" i="1"/>
  <c r="H12" i="1"/>
  <c r="H11" i="1"/>
  <c r="H10" i="1"/>
  <c r="H6" i="1"/>
  <c r="L17" i="9"/>
  <c r="K17" i="9"/>
  <c r="F17" i="9"/>
  <c r="G12" i="9"/>
  <c r="M12" i="9" s="1"/>
  <c r="G11" i="9"/>
  <c r="M11" i="9" s="1"/>
  <c r="G10" i="9"/>
  <c r="M10" i="9" s="1"/>
  <c r="G9" i="9"/>
  <c r="M9" i="9" s="1"/>
  <c r="G8" i="9"/>
  <c r="G17" i="9" s="1"/>
  <c r="C2" i="9"/>
  <c r="M2" i="9" s="1"/>
  <c r="M8" i="9" l="1"/>
  <c r="M17" i="9" s="1"/>
  <c r="L103" i="11"/>
  <c r="K103" i="11"/>
  <c r="G103" i="11"/>
  <c r="M103" i="11" s="1"/>
  <c r="F103" i="11"/>
  <c r="M102" i="11"/>
  <c r="G102" i="11"/>
  <c r="M101" i="11"/>
  <c r="G101" i="11"/>
  <c r="M100" i="11"/>
  <c r="G100" i="11"/>
  <c r="M99" i="11"/>
  <c r="G99" i="11"/>
  <c r="M98" i="11"/>
  <c r="G98" i="11"/>
  <c r="M97" i="11"/>
  <c r="G97" i="11"/>
  <c r="M96" i="11"/>
  <c r="G96" i="11"/>
  <c r="M95" i="11"/>
  <c r="G95" i="11"/>
  <c r="M94" i="11"/>
  <c r="G94" i="11"/>
  <c r="M93" i="11"/>
  <c r="G93" i="11"/>
  <c r="M92" i="11"/>
  <c r="G92" i="11"/>
  <c r="M91" i="11"/>
  <c r="G91" i="11"/>
  <c r="M90" i="11"/>
  <c r="G90" i="11"/>
  <c r="M89" i="11"/>
  <c r="G89" i="11"/>
  <c r="M88" i="11"/>
  <c r="G88" i="11"/>
  <c r="M87" i="11"/>
  <c r="G87" i="11"/>
  <c r="M86" i="11"/>
  <c r="G86" i="11"/>
  <c r="M85" i="11"/>
  <c r="G85" i="11"/>
  <c r="M84" i="11"/>
  <c r="G84" i="11"/>
  <c r="M83" i="11"/>
  <c r="G83" i="11"/>
  <c r="M82" i="11"/>
  <c r="G82" i="11"/>
  <c r="M81" i="11"/>
  <c r="G81" i="11"/>
  <c r="M80" i="11"/>
  <c r="G80" i="11"/>
  <c r="M79" i="11"/>
  <c r="G79" i="11"/>
  <c r="M78" i="11"/>
  <c r="G78" i="11"/>
  <c r="M77" i="11"/>
  <c r="G77" i="11"/>
  <c r="M76" i="11"/>
  <c r="G76" i="11"/>
  <c r="M75" i="11"/>
  <c r="G75" i="11"/>
  <c r="M74" i="11"/>
  <c r="G74" i="11"/>
  <c r="M73" i="11"/>
  <c r="G73" i="11"/>
  <c r="M72" i="11"/>
  <c r="G72" i="11"/>
  <c r="M71" i="11"/>
  <c r="G71" i="11"/>
  <c r="M70" i="11"/>
  <c r="G70" i="11"/>
  <c r="M69" i="11"/>
  <c r="G69" i="11"/>
  <c r="M68" i="11"/>
  <c r="G68" i="11"/>
  <c r="M67" i="11"/>
  <c r="G67" i="11"/>
  <c r="M66" i="11"/>
  <c r="G66" i="11"/>
  <c r="M65" i="11"/>
  <c r="G65" i="11"/>
  <c r="M64" i="11"/>
  <c r="G64" i="11"/>
  <c r="M63" i="11"/>
  <c r="G63" i="11"/>
  <c r="M62" i="11"/>
  <c r="G62" i="11"/>
  <c r="M61" i="11"/>
  <c r="G61" i="11"/>
  <c r="M60" i="11"/>
  <c r="G60" i="11"/>
  <c r="M59" i="11"/>
  <c r="G59" i="11"/>
  <c r="M58" i="11"/>
  <c r="G58" i="11"/>
  <c r="M57" i="11"/>
  <c r="G57" i="11"/>
  <c r="M56" i="11"/>
  <c r="G56" i="11"/>
  <c r="M55" i="11"/>
  <c r="G55" i="11"/>
  <c r="M54" i="11"/>
  <c r="G54" i="11"/>
  <c r="M53" i="11"/>
  <c r="G53" i="11"/>
  <c r="M52" i="11"/>
  <c r="G52" i="11"/>
  <c r="M51" i="11"/>
  <c r="G51" i="11"/>
  <c r="M50" i="11"/>
  <c r="G50" i="11"/>
  <c r="M49" i="11"/>
  <c r="G49" i="11"/>
  <c r="M48" i="11"/>
  <c r="G48" i="11"/>
  <c r="M47" i="11"/>
  <c r="G47" i="11"/>
  <c r="M46" i="11"/>
  <c r="G46" i="11"/>
  <c r="M45" i="11"/>
  <c r="G45" i="11"/>
  <c r="M44" i="11"/>
  <c r="G44" i="11"/>
  <c r="M43" i="11"/>
  <c r="G43" i="11"/>
  <c r="M42" i="11"/>
  <c r="G42" i="11"/>
  <c r="M41" i="11"/>
  <c r="G41" i="11"/>
  <c r="M40" i="11"/>
  <c r="G40" i="11"/>
  <c r="M39" i="11"/>
  <c r="G39" i="11"/>
  <c r="M38" i="11"/>
  <c r="G38" i="11"/>
  <c r="M37" i="11"/>
  <c r="G37" i="11"/>
  <c r="M36" i="11"/>
  <c r="G36" i="11"/>
  <c r="M35" i="11"/>
  <c r="G35" i="11"/>
  <c r="M34" i="11"/>
  <c r="G34" i="11"/>
  <c r="M33" i="11"/>
  <c r="G33" i="11"/>
  <c r="M32" i="11"/>
  <c r="G32" i="11"/>
  <c r="M31" i="11"/>
  <c r="G31" i="11"/>
  <c r="M30" i="11"/>
  <c r="G30" i="11"/>
  <c r="M29" i="11"/>
  <c r="G29" i="11"/>
  <c r="M28" i="11"/>
  <c r="G28" i="11"/>
  <c r="M27" i="11"/>
  <c r="G27" i="11"/>
  <c r="M26" i="11"/>
  <c r="G26" i="11"/>
  <c r="M25" i="11"/>
  <c r="G25" i="11"/>
  <c r="M24" i="11"/>
  <c r="G24" i="11"/>
  <c r="M23" i="11"/>
  <c r="G23" i="11"/>
  <c r="M22" i="11"/>
  <c r="G22" i="11"/>
  <c r="M21" i="11"/>
  <c r="G21" i="11"/>
  <c r="M20" i="11"/>
  <c r="G20" i="11"/>
  <c r="M19" i="11"/>
  <c r="G19" i="11"/>
  <c r="M18" i="11"/>
  <c r="G18" i="11"/>
  <c r="M17" i="11"/>
  <c r="G17" i="11"/>
  <c r="M16" i="11"/>
  <c r="G16" i="11"/>
  <c r="M15" i="11"/>
  <c r="G15" i="11"/>
  <c r="M14" i="11"/>
  <c r="G14" i="11"/>
  <c r="M13" i="11"/>
  <c r="G13" i="11"/>
  <c r="M12" i="11"/>
  <c r="G12" i="11"/>
  <c r="M11" i="11"/>
  <c r="G11" i="11"/>
  <c r="M10" i="11"/>
  <c r="G10" i="11"/>
  <c r="M9" i="11"/>
  <c r="G9" i="11"/>
  <c r="M8" i="11"/>
  <c r="G8" i="11"/>
  <c r="I20" i="10" l="1"/>
  <c r="H20" i="10"/>
  <c r="O20" i="10" s="1"/>
  <c r="O19" i="10"/>
  <c r="O18" i="10"/>
  <c r="O17" i="10"/>
  <c r="O16" i="10"/>
  <c r="O15" i="10"/>
  <c r="O14" i="10"/>
  <c r="O13" i="10"/>
  <c r="O12" i="10"/>
  <c r="O11" i="10"/>
  <c r="O10" i="10"/>
  <c r="O9" i="10"/>
  <c r="O8" i="10"/>
  <c r="O7" i="10"/>
  <c r="A7" i="10"/>
  <c r="A8" i="10" s="1"/>
  <c r="A9" i="10" s="1"/>
  <c r="A10" i="10" s="1"/>
  <c r="A11" i="10" s="1"/>
  <c r="A12" i="10" s="1"/>
  <c r="A13" i="10" s="1"/>
  <c r="A14" i="10" s="1"/>
  <c r="A15" i="10" s="1"/>
  <c r="A16" i="10" s="1"/>
  <c r="A17" i="10" s="1"/>
  <c r="A18" i="10" s="1"/>
  <c r="A19" i="10" s="1"/>
  <c r="O6" i="10"/>
  <c r="L42" i="7" l="1"/>
  <c r="K42" i="7"/>
  <c r="G42" i="7"/>
  <c r="F42" i="7"/>
  <c r="M41" i="7"/>
  <c r="M40" i="7"/>
  <c r="M39" i="7"/>
  <c r="M38" i="7"/>
  <c r="M37" i="7"/>
  <c r="M36" i="7"/>
  <c r="M35" i="7"/>
  <c r="M34" i="7"/>
  <c r="M33" i="7"/>
  <c r="M32" i="7"/>
  <c r="M31" i="7"/>
  <c r="M30" i="7"/>
  <c r="M29" i="7"/>
  <c r="M28" i="7"/>
  <c r="M27" i="7"/>
  <c r="M26" i="7"/>
  <c r="M25" i="7"/>
  <c r="M24" i="7"/>
  <c r="M23" i="7"/>
  <c r="M22" i="7"/>
  <c r="M21" i="7"/>
  <c r="M20" i="7"/>
  <c r="M19" i="7"/>
  <c r="M18" i="7"/>
  <c r="M17" i="7"/>
  <c r="M16" i="7"/>
  <c r="M15" i="7"/>
  <c r="M14" i="7"/>
  <c r="M13" i="7"/>
  <c r="M12" i="7"/>
  <c r="M11" i="7"/>
  <c r="M10" i="7"/>
  <c r="M9" i="7"/>
  <c r="M8" i="7"/>
  <c r="M42" i="7" s="1"/>
  <c r="M2" i="7"/>
  <c r="L32" i="8" l="1"/>
  <c r="K32" i="8"/>
  <c r="F32" i="8"/>
  <c r="G30" i="8"/>
  <c r="M30" i="8" s="1"/>
  <c r="G29" i="8"/>
  <c r="M29" i="8" s="1"/>
  <c r="G28" i="8"/>
  <c r="M28" i="8" s="1"/>
  <c r="G27" i="8"/>
  <c r="M27" i="8" s="1"/>
  <c r="G26" i="8"/>
  <c r="M26" i="8" s="1"/>
  <c r="G25" i="8"/>
  <c r="M25" i="8" s="1"/>
  <c r="G24" i="8"/>
  <c r="M24" i="8" s="1"/>
  <c r="G23" i="8"/>
  <c r="M23" i="8" s="1"/>
  <c r="G22" i="8"/>
  <c r="M22" i="8" s="1"/>
  <c r="G21" i="8"/>
  <c r="M21" i="8" s="1"/>
  <c r="G20" i="8"/>
  <c r="M20" i="8" s="1"/>
  <c r="G19" i="8"/>
  <c r="M19" i="8" s="1"/>
  <c r="G18" i="8"/>
  <c r="M18" i="8" s="1"/>
  <c r="G17" i="8"/>
  <c r="M17" i="8" s="1"/>
  <c r="G16" i="8"/>
  <c r="M16" i="8" s="1"/>
  <c r="G15" i="8"/>
  <c r="M15" i="8" s="1"/>
  <c r="G14" i="8"/>
  <c r="M14" i="8" s="1"/>
  <c r="G13" i="8"/>
  <c r="M13" i="8" s="1"/>
  <c r="G12" i="8"/>
  <c r="M12" i="8" s="1"/>
  <c r="G11" i="8"/>
  <c r="M11" i="8" s="1"/>
  <c r="G10" i="8"/>
  <c r="M10" i="8" s="1"/>
  <c r="G9" i="8"/>
  <c r="M9" i="8" s="1"/>
  <c r="G8" i="8"/>
  <c r="G32" i="8" s="1"/>
  <c r="M32" i="8" s="1"/>
  <c r="M2" i="8"/>
  <c r="C2" i="8"/>
  <c r="M8" i="8" l="1"/>
  <c r="M51" i="13" l="1"/>
  <c r="L51" i="13"/>
  <c r="G51" i="13"/>
  <c r="N51" i="13" s="1"/>
  <c r="F51" i="13"/>
  <c r="N48" i="13"/>
  <c r="N45" i="13"/>
  <c r="N44" i="13"/>
  <c r="N43" i="13"/>
  <c r="N42" i="13"/>
  <c r="N41" i="13"/>
  <c r="N40" i="13"/>
  <c r="N39" i="13"/>
  <c r="N38" i="13"/>
  <c r="N37" i="13"/>
  <c r="N36" i="13"/>
  <c r="N35" i="13"/>
  <c r="N34" i="13"/>
  <c r="N32" i="13"/>
  <c r="N31" i="13"/>
  <c r="N30" i="13"/>
  <c r="N29" i="13"/>
  <c r="N28" i="13"/>
  <c r="N27" i="13"/>
  <c r="N26" i="13"/>
  <c r="N25" i="13"/>
  <c r="N24" i="13"/>
  <c r="N22" i="13"/>
  <c r="N20" i="13"/>
  <c r="N19" i="13"/>
  <c r="N18" i="13"/>
  <c r="N17" i="13"/>
  <c r="N16" i="13"/>
  <c r="N15" i="13"/>
  <c r="N14" i="13"/>
  <c r="N13" i="13"/>
  <c r="N12" i="13"/>
  <c r="N11" i="13"/>
  <c r="N10" i="13"/>
  <c r="N9" i="13"/>
  <c r="N8" i="13"/>
  <c r="K57" i="6" l="1"/>
  <c r="J57" i="6"/>
  <c r="G57" i="6"/>
  <c r="L57" i="6" s="1"/>
  <c r="M56" i="6"/>
  <c r="M55" i="6"/>
  <c r="M54" i="6"/>
  <c r="M53" i="6"/>
  <c r="M52" i="6"/>
  <c r="M51" i="6"/>
  <c r="M50" i="6"/>
  <c r="M49" i="6"/>
  <c r="M48" i="6"/>
  <c r="M47" i="6"/>
  <c r="M46" i="6"/>
  <c r="F46" i="6"/>
  <c r="M45" i="6"/>
  <c r="M44" i="6"/>
  <c r="F44" i="6"/>
  <c r="M43" i="6"/>
  <c r="F43" i="6"/>
  <c r="M42" i="6"/>
  <c r="F42" i="6"/>
  <c r="M41" i="6"/>
  <c r="F41" i="6"/>
  <c r="M40" i="6"/>
  <c r="F40" i="6"/>
  <c r="M39" i="6"/>
  <c r="F39" i="6"/>
  <c r="M38" i="6"/>
  <c r="F38" i="6"/>
  <c r="M37" i="6"/>
  <c r="F37" i="6"/>
  <c r="M36" i="6"/>
  <c r="F36" i="6"/>
  <c r="M35" i="6"/>
  <c r="F35" i="6"/>
  <c r="M34" i="6"/>
  <c r="F34" i="6"/>
  <c r="M33" i="6"/>
  <c r="F33" i="6"/>
  <c r="M32" i="6"/>
  <c r="F32" i="6"/>
  <c r="M31" i="6"/>
  <c r="F31" i="6"/>
  <c r="M30" i="6"/>
  <c r="F30" i="6"/>
  <c r="M29" i="6"/>
  <c r="F29" i="6"/>
  <c r="M28" i="6"/>
  <c r="F28" i="6"/>
  <c r="M27" i="6"/>
  <c r="F27" i="6"/>
  <c r="M26" i="6"/>
  <c r="F26" i="6"/>
  <c r="M25" i="6"/>
  <c r="F25" i="6"/>
  <c r="M24" i="6"/>
  <c r="F24" i="6"/>
  <c r="M23" i="6"/>
  <c r="F23" i="6"/>
  <c r="M22" i="6"/>
  <c r="F22" i="6"/>
  <c r="M21" i="6"/>
  <c r="F21" i="6"/>
  <c r="M20" i="6"/>
  <c r="F20" i="6"/>
  <c r="M19" i="6"/>
  <c r="F19" i="6"/>
  <c r="M18" i="6"/>
  <c r="F18" i="6"/>
  <c r="M17" i="6"/>
  <c r="F17" i="6"/>
  <c r="M16" i="6"/>
  <c r="F16" i="6"/>
  <c r="M15" i="6"/>
  <c r="F15" i="6"/>
  <c r="M14" i="6"/>
  <c r="F14" i="6"/>
  <c r="M13" i="6"/>
  <c r="F13" i="6"/>
  <c r="M12" i="6"/>
  <c r="F12" i="6"/>
  <c r="M11" i="6"/>
  <c r="F11" i="6"/>
  <c r="M10" i="6"/>
  <c r="F10" i="6"/>
  <c r="M9" i="6"/>
  <c r="F9" i="6"/>
  <c r="F57" i="6" s="1"/>
  <c r="M8" i="6"/>
  <c r="L22" i="4" l="1"/>
  <c r="K22" i="4"/>
  <c r="M22" i="4" s="1"/>
  <c r="G22" i="4"/>
  <c r="F22" i="4"/>
  <c r="M21" i="4"/>
  <c r="M20" i="4"/>
  <c r="M19" i="4"/>
  <c r="M18" i="4"/>
  <c r="M17" i="4"/>
  <c r="M16" i="4"/>
  <c r="M15" i="4"/>
  <c r="M14" i="4"/>
  <c r="M13" i="4"/>
  <c r="M12" i="4"/>
  <c r="M11" i="4"/>
  <c r="M10" i="4"/>
  <c r="M9" i="4"/>
  <c r="M8" i="4"/>
  <c r="L16" i="3" l="1"/>
  <c r="K16" i="3"/>
  <c r="G16" i="3"/>
  <c r="F16" i="3"/>
  <c r="M15" i="3"/>
  <c r="M14" i="3"/>
  <c r="M13" i="3"/>
  <c r="M12" i="3"/>
  <c r="M11" i="3"/>
  <c r="M10" i="3"/>
  <c r="M9" i="3"/>
  <c r="M8" i="3"/>
  <c r="M16" i="3" l="1"/>
  <c r="K33" i="2"/>
  <c r="J33" i="2"/>
  <c r="F33" i="2"/>
  <c r="L33" i="2" s="1"/>
  <c r="E33" i="2"/>
  <c r="G5" i="1" l="1"/>
  <c r="H5" i="1"/>
  <c r="I5" i="1"/>
  <c r="E6" i="1"/>
  <c r="G6" i="1"/>
  <c r="I6" i="1"/>
  <c r="E7" i="1"/>
  <c r="G7" i="1"/>
  <c r="H7" i="1"/>
  <c r="I7" i="1" s="1"/>
  <c r="E8" i="1"/>
  <c r="G8" i="1"/>
  <c r="H8" i="1"/>
  <c r="I8" i="1" s="1"/>
  <c r="E9" i="1"/>
  <c r="G9" i="1"/>
  <c r="H9" i="1"/>
  <c r="I9" i="1" s="1"/>
  <c r="E10" i="1"/>
  <c r="G10" i="1"/>
  <c r="I10" i="1"/>
  <c r="E11" i="1"/>
  <c r="G11" i="1"/>
  <c r="I11" i="1"/>
  <c r="E12" i="1"/>
  <c r="G12" i="1"/>
  <c r="I12" i="1"/>
  <c r="G13" i="1"/>
  <c r="I13" i="1"/>
  <c r="E14" i="1"/>
  <c r="G14" i="1"/>
  <c r="I14" i="1"/>
  <c r="E15" i="1"/>
  <c r="G15" i="1"/>
  <c r="I15" i="1"/>
  <c r="E16" i="1"/>
  <c r="G16" i="1"/>
  <c r="I16" i="1"/>
  <c r="B17" i="1"/>
  <c r="C17" i="1"/>
  <c r="D17" i="1"/>
  <c r="F17" i="1"/>
  <c r="G17" i="1" l="1"/>
  <c r="E17" i="1"/>
  <c r="H17" i="1"/>
  <c r="I17" i="1" s="1"/>
</calcChain>
</file>

<file path=xl/comments1.xml><?xml version="1.0" encoding="utf-8"?>
<comments xmlns="http://schemas.openxmlformats.org/spreadsheetml/2006/main">
  <authors>
    <author>Diana Miller</author>
  </authors>
  <commentList>
    <comment ref="C7" authorId="0">
      <text>
        <r>
          <rPr>
            <b/>
            <sz val="9"/>
            <color indexed="81"/>
            <rFont val="Tahoma"/>
            <family val="2"/>
          </rPr>
          <t>Diana Miller:</t>
        </r>
        <r>
          <rPr>
            <sz val="9"/>
            <color indexed="81"/>
            <rFont val="Tahoma"/>
            <family val="2"/>
          </rPr>
          <t xml:space="preserve">
Now Ordering based on Start Sheet Dates</t>
        </r>
      </text>
    </comment>
  </commentList>
</comments>
</file>

<file path=xl/comments2.xml><?xml version="1.0" encoding="utf-8"?>
<comments xmlns="http://schemas.openxmlformats.org/spreadsheetml/2006/main">
  <authors>
    <author>Diana Miller</author>
  </authors>
  <commentList>
    <comment ref="C7" authorId="0">
      <text>
        <r>
          <rPr>
            <b/>
            <sz val="9"/>
            <color indexed="81"/>
            <rFont val="Tahoma"/>
            <family val="2"/>
          </rPr>
          <t>Diana Miller:</t>
        </r>
        <r>
          <rPr>
            <sz val="9"/>
            <color indexed="81"/>
            <rFont val="Tahoma"/>
            <family val="2"/>
          </rPr>
          <t xml:space="preserve">
Now Ordering based on Start Sheet Dates</t>
        </r>
      </text>
    </comment>
  </commentList>
</comments>
</file>

<file path=xl/sharedStrings.xml><?xml version="1.0" encoding="utf-8"?>
<sst xmlns="http://schemas.openxmlformats.org/spreadsheetml/2006/main" count="2645" uniqueCount="1248">
  <si>
    <t>Totals</t>
  </si>
  <si>
    <t>JJD</t>
  </si>
  <si>
    <t>HHSC- State Supported Living Centers</t>
  </si>
  <si>
    <t>HHSC- State Hospitals</t>
  </si>
  <si>
    <t>DSHS</t>
  </si>
  <si>
    <t>SPB</t>
  </si>
  <si>
    <t>THC</t>
  </si>
  <si>
    <t xml:space="preserve">2018- 2019 Funds </t>
  </si>
  <si>
    <t>Percent Remaining</t>
  </si>
  <si>
    <t>Remaining Project Balance</t>
  </si>
  <si>
    <t>Percent Expended</t>
  </si>
  <si>
    <t>FY 2018-19 Expended</t>
  </si>
  <si>
    <t>Percent Encumbered</t>
  </si>
  <si>
    <t>FY 2018-19 Encumbered</t>
  </si>
  <si>
    <t>Current Estimated Project Budget</t>
  </si>
  <si>
    <t>Original Estimated Project Budget</t>
  </si>
  <si>
    <t>FY 18-19 Report</t>
  </si>
  <si>
    <t>Agency:</t>
  </si>
  <si>
    <t>Texas Facilities Commission (303)</t>
  </si>
  <si>
    <t>Date:</t>
  </si>
  <si>
    <t>Prepared by:</t>
  </si>
  <si>
    <t>John Raff, P.E.</t>
  </si>
  <si>
    <t>Agency ID</t>
  </si>
  <si>
    <t>Project Name &amp; Location</t>
  </si>
  <si>
    <t>Project Description</t>
  </si>
  <si>
    <t>Source of Funding
(MOF)</t>
  </si>
  <si>
    <t>Estimated
Substantial Completion Date</t>
  </si>
  <si>
    <t>% Design
Completion</t>
  </si>
  <si>
    <t>% Const.
Completion</t>
  </si>
  <si>
    <t>FY 2016-17 Encumbered</t>
  </si>
  <si>
    <t>FY 2016-17 Expended</t>
  </si>
  <si>
    <t>Supp.
Notes</t>
  </si>
  <si>
    <t>DROC</t>
  </si>
  <si>
    <t>Replace deteriorated cooling water loop and pumps supplying cooling water to data center.</t>
  </si>
  <si>
    <t>ESF</t>
  </si>
  <si>
    <t>No</t>
  </si>
  <si>
    <r>
      <t xml:space="preserve">State Bldg/Air Handler Unit Replacements and DM Renovations at Various Buildings, Austin TX  </t>
    </r>
    <r>
      <rPr>
        <sz val="10"/>
        <color theme="1"/>
        <rFont val="Arial"/>
        <family val="2"/>
      </rPr>
      <t>Insurance Annex (</t>
    </r>
    <r>
      <rPr>
        <b/>
        <sz val="10"/>
        <color theme="1"/>
        <rFont val="Arial"/>
        <family val="2"/>
      </rPr>
      <t>INX</t>
    </r>
    <r>
      <rPr>
        <sz val="10"/>
        <color theme="1"/>
        <rFont val="Arial"/>
        <family val="2"/>
      </rPr>
      <t>)               William P. Clements (</t>
    </r>
    <r>
      <rPr>
        <b/>
        <sz val="10"/>
        <color theme="1"/>
        <rFont val="Arial"/>
        <family val="2"/>
      </rPr>
      <t>WPC</t>
    </r>
    <r>
      <rPr>
        <sz val="10"/>
        <color theme="1"/>
        <rFont val="Arial"/>
        <family val="2"/>
      </rPr>
      <t>)      Robert E. Johnson (</t>
    </r>
    <r>
      <rPr>
        <b/>
        <sz val="10"/>
        <color theme="1"/>
        <rFont val="Arial"/>
        <family val="2"/>
      </rPr>
      <t>REJ</t>
    </r>
    <r>
      <rPr>
        <sz val="10"/>
        <color theme="1"/>
        <rFont val="Arial"/>
        <family val="2"/>
      </rPr>
      <t>)             Price Daniel Sr. (</t>
    </r>
    <r>
      <rPr>
        <b/>
        <sz val="10"/>
        <color theme="1"/>
        <rFont val="Arial"/>
        <family val="2"/>
      </rPr>
      <t>PDB</t>
    </r>
    <r>
      <rPr>
        <sz val="10"/>
        <color theme="1"/>
        <rFont val="Arial"/>
        <family val="2"/>
      </rPr>
      <t>)           Supreme Court Bldg (</t>
    </r>
    <r>
      <rPr>
        <b/>
        <sz val="10"/>
        <color theme="1"/>
        <rFont val="Arial"/>
        <family val="2"/>
      </rPr>
      <t>SCB</t>
    </r>
    <r>
      <rPr>
        <sz val="10"/>
        <color theme="1"/>
        <rFont val="Arial"/>
        <family val="2"/>
      </rPr>
      <t>)          Tom C. Clark (</t>
    </r>
    <r>
      <rPr>
        <b/>
        <sz val="10"/>
        <color theme="1"/>
        <rFont val="Arial"/>
        <family val="2"/>
      </rPr>
      <t>TCC</t>
    </r>
    <r>
      <rPr>
        <sz val="10"/>
        <color theme="1"/>
        <rFont val="Arial"/>
        <family val="2"/>
      </rPr>
      <t xml:space="preserve">) </t>
    </r>
  </si>
  <si>
    <t>Renovation/Replacement of air handling units, outside air handling units, air distribution system and control; exterior cladding waterproofing repairs; emergency power and cooling connections and life safety systems.</t>
  </si>
  <si>
    <r>
      <t xml:space="preserve">DSHS/ Air Handler Unit Replacements and DM Renovations at Various Buildings, Austin TX        </t>
    </r>
    <r>
      <rPr>
        <sz val="10"/>
        <color theme="1"/>
        <rFont val="Arial"/>
        <family val="2"/>
      </rPr>
      <t>DSHS Bldg. G (</t>
    </r>
    <r>
      <rPr>
        <b/>
        <sz val="10"/>
        <color theme="1"/>
        <rFont val="Arial"/>
        <family val="2"/>
      </rPr>
      <t>DHG</t>
    </r>
    <r>
      <rPr>
        <sz val="10"/>
        <color theme="1"/>
        <rFont val="Arial"/>
        <family val="2"/>
      </rPr>
      <t>)                    DSHS Building K (</t>
    </r>
    <r>
      <rPr>
        <b/>
        <sz val="10"/>
        <color theme="1"/>
        <rFont val="Arial"/>
        <family val="2"/>
      </rPr>
      <t>DHK</t>
    </r>
    <r>
      <rPr>
        <sz val="10"/>
        <color theme="1"/>
        <rFont val="Arial"/>
        <family val="2"/>
      </rPr>
      <t>)               DSHS Tower Bldg. (</t>
    </r>
    <r>
      <rPr>
        <b/>
        <sz val="10"/>
        <color theme="1"/>
        <rFont val="Arial"/>
        <family val="2"/>
      </rPr>
      <t>DHT</t>
    </r>
    <r>
      <rPr>
        <sz val="10"/>
        <color theme="1"/>
        <rFont val="Arial"/>
        <family val="2"/>
      </rPr>
      <t>)          DSHS Records Bldg. (</t>
    </r>
    <r>
      <rPr>
        <b/>
        <sz val="10"/>
        <color theme="1"/>
        <rFont val="Arial"/>
        <family val="2"/>
      </rPr>
      <t>DHR</t>
    </r>
    <r>
      <rPr>
        <sz val="10"/>
        <color theme="1"/>
        <rFont val="Arial"/>
        <family val="2"/>
      </rPr>
      <t>)    Robert D Moreton (</t>
    </r>
    <r>
      <rPr>
        <b/>
        <sz val="10"/>
        <color theme="1"/>
        <rFont val="Arial"/>
        <family val="2"/>
      </rPr>
      <t>RDM</t>
    </r>
    <r>
      <rPr>
        <sz val="10"/>
        <color theme="1"/>
        <rFont val="Arial"/>
        <family val="2"/>
      </rPr>
      <t>)            DSHS Building F (</t>
    </r>
    <r>
      <rPr>
        <b/>
        <sz val="10"/>
        <color theme="1"/>
        <rFont val="Arial"/>
        <family val="2"/>
      </rPr>
      <t>DHF</t>
    </r>
    <r>
      <rPr>
        <sz val="10"/>
        <color theme="1"/>
        <rFont val="Arial"/>
        <family val="2"/>
      </rPr>
      <t xml:space="preserve">)               DSHS Service Building ( </t>
    </r>
    <r>
      <rPr>
        <b/>
        <sz val="10"/>
        <color theme="1"/>
        <rFont val="Arial"/>
        <family val="2"/>
      </rPr>
      <t>DHSB</t>
    </r>
    <r>
      <rPr>
        <sz val="10"/>
        <color theme="1"/>
        <rFont val="Arial"/>
        <family val="2"/>
      </rPr>
      <t>) Dr. Robert Bernstein Bldg. (</t>
    </r>
    <r>
      <rPr>
        <b/>
        <sz val="10"/>
        <color theme="1"/>
        <rFont val="Arial"/>
        <family val="2"/>
      </rPr>
      <t>RBB</t>
    </r>
    <r>
      <rPr>
        <sz val="10"/>
        <color theme="1"/>
        <rFont val="Arial"/>
        <family val="2"/>
      </rPr>
      <t>)</t>
    </r>
  </si>
  <si>
    <t>Renovation/Replacement of air handling units, outside air handling units, air distribution system and control; Structural/cladding/waterproofing repairs; and life safety systems.</t>
  </si>
  <si>
    <t>Dr. Bob Glaze Laboratory Services (DBGL), Austin TX</t>
  </si>
  <si>
    <t>Repair/Replace Mechanical systems and enhancement to indoor air quality; Replace/Repair of electrical and plumbing systems; Life safety and fire protection systems; repairs of exterior envelope; repair/replace roof.</t>
  </si>
  <si>
    <t>El Paso (ELP) El Paso TX</t>
  </si>
  <si>
    <t>Roof Replacement; Repair/Replace mechanical systems; structural/waterproofing repairs; Repair/Install Vestibule.</t>
  </si>
  <si>
    <t>Stephen F. Austin, Austin TX
William B. Travis, Austin, TX</t>
  </si>
  <si>
    <t>Repair outside air handling units, Fire separations, lightning protection, plumbing and associated Accessibility.</t>
  </si>
  <si>
    <t>Various Parking Garage Elevators Austin TX</t>
  </si>
  <si>
    <t>Repair/replacement of elevators.</t>
  </si>
  <si>
    <t>State Parking Garages Austin TX</t>
  </si>
  <si>
    <t>Repairs to life safety and fire protection systems; repairs to electrical systems; sitework, building envelope, expansion joints and structural systems.</t>
  </si>
  <si>
    <t>P35 Austin, TX</t>
  </si>
  <si>
    <t>Repair/Replace Cooling tower; distribution system and associated controls</t>
  </si>
  <si>
    <t>Program-wide Priority 1 Repairs</t>
  </si>
  <si>
    <t>Priority IA and IB deferred maintenance deficiencies that have become an immediate need (I) and impact health and life safety of the building occupants (A) or threaten the continuity of operations for critical governemnt operations (B).  These needs have advanced to an immediate stage since the proposed appropriation request developed in August of 2016 or may present as an immediate need through he course of the implementation of the 2018-19 deferred maintenance funding strategies.  The list of funding strategies provided for the 2018-19 deferred maintenance appropriation request is provided as an exhibit for reference to qualify initiatives in this project.</t>
  </si>
  <si>
    <t>Totals:</t>
  </si>
  <si>
    <t>Texas Historical Commission (808)</t>
  </si>
  <si>
    <t>Corey Crawford</t>
  </si>
  <si>
    <t>Project
Priority</t>
  </si>
  <si>
    <t xml:space="preserve">Current Estimated Project Budget
(for 1st Qtr.) </t>
  </si>
  <si>
    <t xml:space="preserve"> 808-18-0450</t>
  </si>
  <si>
    <t>Mission Dolores State Historic Site, San Augustine, San Augustine County, Texas</t>
  </si>
  <si>
    <t xml:space="preserve">Renovate the museum and laboratory buildings and construct a maintenance building to provide an improved educational experience to visitors. </t>
  </si>
  <si>
    <t>Economic Stabilization Fund (Fund 0599)</t>
  </si>
  <si>
    <t>Yes</t>
  </si>
  <si>
    <t>808-17-0452</t>
  </si>
  <si>
    <t>San Felipe de Austin State Historic Site, San Felipe, Austin County, Texas</t>
  </si>
  <si>
    <t xml:space="preserve">Construct a new museum, exhibits and maintenance building to provide an improved educational experience to visitors. </t>
  </si>
  <si>
    <t>Economic Stabilization Fund (Fund 0599) &amp; General Revenue - Sporting Goods Sales Tax (Fund 0001)</t>
  </si>
  <si>
    <t xml:space="preserve"> 808-18-0449</t>
  </si>
  <si>
    <t>National Museum of the Pacific War, Fredericksburg, Gillespie County, Texas</t>
  </si>
  <si>
    <t>Renovate the interior of the Admiral Nimitz Hotel to enhance efficiency and improve the visitor experience.</t>
  </si>
  <si>
    <t>808-18-X1B55</t>
  </si>
  <si>
    <t>Roof Repairs - State Historic Sites (Statewide)</t>
  </si>
  <si>
    <t xml:space="preserve">FY 18: Conduct necessary roof repairs at various sites in order to safeguard the buildings and their contents. </t>
  </si>
  <si>
    <t>808-18-X2G41</t>
  </si>
  <si>
    <t>Interior Renovations - State Historic Sites (Statewide)</t>
  </si>
  <si>
    <t>FY 18: Conduct renovations to various buildings in order to enhance function and interpretation</t>
  </si>
  <si>
    <t>808-18-STAFF</t>
  </si>
  <si>
    <t>Mission Dolores State Historic Site - Staffing (two years)</t>
  </si>
  <si>
    <t>808-19-X1B56</t>
  </si>
  <si>
    <t xml:space="preserve">FY 19: Conduct necessary roof repairs at various sites in order to safeguard the buildings and their contents. </t>
  </si>
  <si>
    <t>808-19-X2G42</t>
  </si>
  <si>
    <t>FY 19: Conduct renovations to various buildings in order to enhance function and interpretation</t>
  </si>
  <si>
    <t>STATE PRESERVATION BOARD (809)</t>
  </si>
  <si>
    <t>BOB CASH, CYNTHIA PROVINE</t>
  </si>
  <si>
    <t>CRP18001</t>
  </si>
  <si>
    <t>Capitol Elevator Modernization/Upgrade Phase 1</t>
  </si>
  <si>
    <t>Modernizaion of all Capitol and Extension Elevators.  Project is in the design / RFQ phase.  RFQ to be issued in the next month.  Delayed due to Special Session</t>
  </si>
  <si>
    <t>FUND 0001</t>
  </si>
  <si>
    <t>NO</t>
  </si>
  <si>
    <t>CRP18017</t>
  </si>
  <si>
    <t>Capitol Elevator Modernization/Upgrade Phase 2</t>
  </si>
  <si>
    <t>CRP18015</t>
  </si>
  <si>
    <t>HVAC Automation System Upgrade Capitol Extension</t>
  </si>
  <si>
    <t>RFP for materials being crafted, expect issue of RFP in the next 3 months - Delayed due ot Special Session</t>
  </si>
  <si>
    <t>HHSC 529 State-Operated Facilities Division - State Supported Living Centers</t>
  </si>
  <si>
    <t>HHSC State-Operated Facilities Division - Facilities Support Services</t>
  </si>
  <si>
    <t>18-100-ABL</t>
  </si>
  <si>
    <t>Abilene SSLC</t>
  </si>
  <si>
    <t>Replace Deaerator Tank</t>
  </si>
  <si>
    <t>ESF (other)</t>
  </si>
  <si>
    <t>TBD</t>
  </si>
  <si>
    <t>18-101-ABL</t>
  </si>
  <si>
    <t>Replace HVAC System B597</t>
  </si>
  <si>
    <t>18-102-ABL</t>
  </si>
  <si>
    <t>Replace Central Kitchen Walk-in Coolers / Freezer</t>
  </si>
  <si>
    <t>18-103-ABL</t>
  </si>
  <si>
    <t>Replace Steam Heating in Quads</t>
  </si>
  <si>
    <t>18-104-AUL</t>
  </si>
  <si>
    <t>Austin SSLC</t>
  </si>
  <si>
    <t>Repair Area Storm water Drainage</t>
  </si>
  <si>
    <t>18-105-AUL</t>
  </si>
  <si>
    <t>Replace failing water lines at site</t>
  </si>
  <si>
    <t>18-106-AUL</t>
  </si>
  <si>
    <t>Roof repair and replacement to various buildings</t>
  </si>
  <si>
    <t>18-107-BLC</t>
  </si>
  <si>
    <t>Brenham SSLC</t>
  </si>
  <si>
    <t>Bathrooms Renovation, Replacement of Ceiling Tile, Ceilings, and windows, Replace Deteriorated Metal Facades, and the Replacement of Failing Sanitary Sewer Lines - Mult. Bldgs.</t>
  </si>
  <si>
    <t>18-108-BLC</t>
  </si>
  <si>
    <t>Replace Chilled &amp; Hot Water Distribution System and Repair and Paint Elevated Water Tank</t>
  </si>
  <si>
    <t>18-109-CLC</t>
  </si>
  <si>
    <t>Corpus Christi SSLC</t>
  </si>
  <si>
    <t>HVAC and Emergency Generator Replacement</t>
  </si>
  <si>
    <t>18-110-DLC</t>
  </si>
  <si>
    <t>Denton SSLC</t>
  </si>
  <si>
    <t>Boiler Replacements</t>
  </si>
  <si>
    <t>18-111-DLC</t>
  </si>
  <si>
    <t>Replace HVAC roof top units and HVAC controls</t>
  </si>
  <si>
    <t>18-112-DLC</t>
  </si>
  <si>
    <t>Roof Replacements</t>
  </si>
  <si>
    <t>18-113-ELC</t>
  </si>
  <si>
    <t>El Paso SSLC</t>
  </si>
  <si>
    <t>Replaces obsolete electrical distribution system switchgear and covers</t>
  </si>
  <si>
    <t>18-114-ELC</t>
  </si>
  <si>
    <t>Domestic and Fire Waterline Replacement</t>
  </si>
  <si>
    <t>18-115-ELC</t>
  </si>
  <si>
    <t>661-ADA Alterations and Renovations</t>
  </si>
  <si>
    <t>18-116-ELC</t>
  </si>
  <si>
    <t xml:space="preserve">Renovate patio areas which will include fire sprinkler systems at client
residences and will require life/safety review </t>
  </si>
  <si>
    <t>18-117-LBL</t>
  </si>
  <si>
    <t>Lubbock SSLC</t>
  </si>
  <si>
    <t>HVAC, Plumbing and General Renovations</t>
  </si>
  <si>
    <t>18-118-LBL</t>
  </si>
  <si>
    <t>Replaced Deteriorated Kitchen Ceiling</t>
  </si>
  <si>
    <t>18-119-LFL</t>
  </si>
  <si>
    <t>Lufkin SSLC</t>
  </si>
  <si>
    <t>Bathroom Renovations</t>
  </si>
  <si>
    <t>18-120-LFL</t>
  </si>
  <si>
    <t>Roof Repair and Replacements</t>
  </si>
  <si>
    <t>18-121-MLC</t>
  </si>
  <si>
    <t>Mexia SSLC</t>
  </si>
  <si>
    <t xml:space="preserve">Emergency Generator Replacement
</t>
  </si>
  <si>
    <t>18-122-MLC</t>
  </si>
  <si>
    <t>Covered Canopy/Walkway Replacement</t>
  </si>
  <si>
    <t>18-123-MLC</t>
  </si>
  <si>
    <t>Replacement of Steam Boiler and Chilled &amp; Hot Water System, serving Gym and Client residences</t>
  </si>
  <si>
    <t>18-124-RLC</t>
  </si>
  <si>
    <t>Richmond SSLC</t>
  </si>
  <si>
    <t>Sanitary Sewer Line Replacement</t>
  </si>
  <si>
    <t>18-125-RLC</t>
  </si>
  <si>
    <t>Roof repairs and Replacements</t>
  </si>
  <si>
    <t>18-126-SGL</t>
  </si>
  <si>
    <t>San Angelo SSLC</t>
  </si>
  <si>
    <t>671-ADA Bathroom Additions / Renovations</t>
  </si>
  <si>
    <t>18-127-SGL</t>
  </si>
  <si>
    <t>Roof Repairs and Replacements</t>
  </si>
  <si>
    <t>18-128-SGL</t>
  </si>
  <si>
    <t>Replace/Upgrade Emergency Generators</t>
  </si>
  <si>
    <t>18-129-SGL</t>
  </si>
  <si>
    <t>Upgrade mechanical systems in plant</t>
  </si>
  <si>
    <t>18-130-SAL</t>
  </si>
  <si>
    <t>San Antonio SSLC</t>
  </si>
  <si>
    <t>Install Emergency Generator, Sandblast and Paint Building Exterior of Client use building, administration building, replace deteriorated wood exterior windows on Administration Building</t>
  </si>
  <si>
    <t>18-131-SAL</t>
  </si>
  <si>
    <t>Replace failing sanitary sewer line onsite</t>
  </si>
  <si>
    <t>18-132-ABL</t>
  </si>
  <si>
    <t>Replace Cottages Exterior Siding/Windows/Doors</t>
  </si>
  <si>
    <t>18-133-ABL</t>
  </si>
  <si>
    <t>ADA Renovations (Multi) and Campus Master Lock System</t>
  </si>
  <si>
    <t>18-134-AUL</t>
  </si>
  <si>
    <t>Replace deteriorated exterior windows - Admin Buildings and Client Support Buildings</t>
  </si>
  <si>
    <t>18-135-AUL</t>
  </si>
  <si>
    <t>Install emergency generator</t>
  </si>
  <si>
    <t>18-136-CLC</t>
  </si>
  <si>
    <t>Replace Master Lock Hardware</t>
  </si>
  <si>
    <t>18-137-DLC</t>
  </si>
  <si>
    <t>Replace Electrical Panels - Multiple Bldgs.</t>
  </si>
  <si>
    <t>18-138-ELC</t>
  </si>
  <si>
    <t>Install Steel Picket Security Fence</t>
  </si>
  <si>
    <t>18-139-MLC</t>
  </si>
  <si>
    <t>18-140-RLC</t>
  </si>
  <si>
    <t>Window Replacements</t>
  </si>
  <si>
    <t>18-141-RLC</t>
  </si>
  <si>
    <t>Cooling Tower and Chiller Replacement</t>
  </si>
  <si>
    <t>18-142-ABL</t>
  </si>
  <si>
    <t>Repair Exterior Brick Walls and Replace Roofs</t>
  </si>
  <si>
    <t>18-143-AUL</t>
  </si>
  <si>
    <t>Replace the deteriorated HVAC system and Provide for central HVAC system</t>
  </si>
  <si>
    <t>18-144-BLC</t>
  </si>
  <si>
    <t>Roof Repair and Replacement</t>
  </si>
  <si>
    <t>18-145-CLC</t>
  </si>
  <si>
    <t>Walkway and ADA Ramp Improvements</t>
  </si>
  <si>
    <t>18-146-DLC</t>
  </si>
  <si>
    <t>Replace Vent Hood</t>
  </si>
  <si>
    <t>18-147-LFL</t>
  </si>
  <si>
    <t>New above ground fuel storage tank</t>
  </si>
  <si>
    <t>18-148MLC</t>
  </si>
  <si>
    <t>Install New Vent Hood Fire Suppression System</t>
  </si>
  <si>
    <t>HHSC 529 State-Operated Facilities Division - State Hospitals</t>
  </si>
  <si>
    <t>16-010-EPC</t>
  </si>
  <si>
    <t>El Paso Psychiatric Center</t>
  </si>
  <si>
    <t>Boiler Replacement</t>
  </si>
  <si>
    <t>16-012-KSH</t>
  </si>
  <si>
    <t>Kerrville State Hospital</t>
  </si>
  <si>
    <t>HVAC &amp; Chiller Replacement</t>
  </si>
  <si>
    <t>16-018-RSH</t>
  </si>
  <si>
    <t>Rusk State Hospital</t>
  </si>
  <si>
    <t>Fire Escape &amp; Wall Replacement</t>
  </si>
  <si>
    <t>16-023-SAH</t>
  </si>
  <si>
    <t>San Antonio State Hospital</t>
  </si>
  <si>
    <t>HVAC, Transformer &amp; Piping Replacement; Fire Alarm Installation</t>
  </si>
  <si>
    <t>18-001-ASH</t>
  </si>
  <si>
    <t>Austin State Hospital</t>
  </si>
  <si>
    <t>Replace Anti-Ligature Hardware</t>
  </si>
  <si>
    <t>18-002-ASH</t>
  </si>
  <si>
    <t>Roof Repairs and Replacement</t>
  </si>
  <si>
    <t>18-003-BSH</t>
  </si>
  <si>
    <t>Big Spring State Hospital</t>
  </si>
  <si>
    <t>18-004-BSH</t>
  </si>
  <si>
    <t>Enclose/Replace Exterior Stairways</t>
  </si>
  <si>
    <t>18-005-BSH</t>
  </si>
  <si>
    <t>Sleeping Anti-ligature</t>
  </si>
  <si>
    <t>18-006-EPC</t>
  </si>
  <si>
    <t>Replace HVAC Control System</t>
  </si>
  <si>
    <t>18-007-KSH</t>
  </si>
  <si>
    <t>Replace Aging Chillers and Boilers</t>
  </si>
  <si>
    <t>18-008-KSH</t>
  </si>
  <si>
    <t>Install High Security Fence</t>
  </si>
  <si>
    <t>18-009-KSH</t>
  </si>
  <si>
    <t>18-010-KSH</t>
  </si>
  <si>
    <t>Repair Chapel 625</t>
  </si>
  <si>
    <t>18-011-RSC</t>
  </si>
  <si>
    <t>Rio Grande State Center</t>
  </si>
  <si>
    <t>Sewer Repair</t>
  </si>
  <si>
    <t>18-012-RSC</t>
  </si>
  <si>
    <t>Client Residence Upgrade</t>
  </si>
  <si>
    <t>18-013-RSH</t>
  </si>
  <si>
    <t>Anti-ligature Hardware Upgrades</t>
  </si>
  <si>
    <t>18-014-RSH</t>
  </si>
  <si>
    <t>Replace Obsolete Emergency Generators</t>
  </si>
  <si>
    <t>18-015-RSH</t>
  </si>
  <si>
    <t>Provide Exterior ADA Accessibility</t>
  </si>
  <si>
    <t>18-016-RSH</t>
  </si>
  <si>
    <t>Building Renovations</t>
  </si>
  <si>
    <t>18-017-SAH</t>
  </si>
  <si>
    <t>Replace/Install New Fire Sprinkler and Alarm Systems</t>
  </si>
  <si>
    <t>18-018-SAH</t>
  </si>
  <si>
    <t>Renovate Fire and Smoke Partitions in Client Residences</t>
  </si>
  <si>
    <t>18-019-TSH</t>
  </si>
  <si>
    <t>Terrell State Hospital</t>
  </si>
  <si>
    <t>Anti-ligature and Building Renovations</t>
  </si>
  <si>
    <t>18-020-TSH</t>
  </si>
  <si>
    <t>EMS Upgrades</t>
  </si>
  <si>
    <t>18-021-TSH</t>
  </si>
  <si>
    <t>HVAC Replacements</t>
  </si>
  <si>
    <t>18-022-TSH</t>
  </si>
  <si>
    <t>18-024-VSH</t>
  </si>
  <si>
    <t>North Texas State Hospital, Vernon Campus</t>
  </si>
  <si>
    <t>Replace HVAC Chillers and Control System</t>
  </si>
  <si>
    <t>18-025-VSH</t>
  </si>
  <si>
    <t>Replace Boilers</t>
  </si>
  <si>
    <t>18-026-VSH</t>
  </si>
  <si>
    <t>18-027-VSH</t>
  </si>
  <si>
    <t>Water Tank Repairs</t>
  </si>
  <si>
    <t>18-028-VSH</t>
  </si>
  <si>
    <t>Kitchen Expansion</t>
  </si>
  <si>
    <t>18-029-VSH</t>
  </si>
  <si>
    <t>Anti-ligature &amp; Building Renovations</t>
  </si>
  <si>
    <t>18-030-WCY</t>
  </si>
  <si>
    <t>Waco Center for Youth</t>
  </si>
  <si>
    <t>Replace Fire Alarm System</t>
  </si>
  <si>
    <t>18-031-WCY</t>
  </si>
  <si>
    <t>Emergency Generator Replacement</t>
  </si>
  <si>
    <t>18-032-WCY</t>
  </si>
  <si>
    <t>18-033-WFH</t>
  </si>
  <si>
    <t>North Texas State Hospital, Wichita Falls Campus</t>
  </si>
  <si>
    <t>18-034-WFH</t>
  </si>
  <si>
    <t>Emergency Generator Installation</t>
  </si>
  <si>
    <t>18-035-WFH</t>
  </si>
  <si>
    <t>18-036-BSH</t>
  </si>
  <si>
    <t>Repair or Replace Sanitary Sewer Lines</t>
  </si>
  <si>
    <t>18-037-BSH</t>
  </si>
  <si>
    <t>Electrical System Upgrade</t>
  </si>
  <si>
    <t>18-038-VSH</t>
  </si>
  <si>
    <t>Replace Electrical Panels and Main Disconnects</t>
  </si>
  <si>
    <t>18-039-WFH</t>
  </si>
  <si>
    <t>Elevator Installation</t>
  </si>
  <si>
    <t>18-040-TSH</t>
  </si>
  <si>
    <t>Building 650 Renovations</t>
  </si>
  <si>
    <t>Texas Juvenile Justice Department - 644</t>
  </si>
  <si>
    <t>Steven Vargas - Director of Construction</t>
  </si>
  <si>
    <t>High Voltage Loop - Giddings</t>
  </si>
  <si>
    <t>Replace major high voltage conduit and wire around the campus in order to bring to current code and support existing transformers. Reconfigure MDP panels and conductors up to the transformers.</t>
  </si>
  <si>
    <t>Gym Roof Repair - Giddings</t>
  </si>
  <si>
    <t>Hurricane Harvey storm damaged a portion of the roof at the gym. Replace roof with new roofing materials.</t>
  </si>
  <si>
    <t>Pool HVAC Install - Giddings</t>
  </si>
  <si>
    <t>Install an HVAC system &amp; room finish-out in the newly infilled pool in order to make this space habitabal for staff.</t>
  </si>
  <si>
    <t>Replace HVAC Units - Brownwood</t>
  </si>
  <si>
    <t>Replace the HVAC units &amp; associated appurtenances in the building inside the secured area with similarly size units.</t>
  </si>
  <si>
    <t>Side 2 Drop Ceiling Tiles Reinforcement - McLennan</t>
  </si>
  <si>
    <t>Youth have been accessing above the drop ceiling in the octogonal hallways &amp; damaging infrastructure. This project will install plywood over the tiles in all dorms.</t>
  </si>
  <si>
    <t>Replace HVAC Units - McLennan</t>
  </si>
  <si>
    <t>Convert Wooden Doors to Metal Doors - Evins</t>
  </si>
  <si>
    <t>Doors must be changed from wood to metal in order to fortify walkways &amp; due to fire code.</t>
  </si>
  <si>
    <t>HVAC Upgrades to Dorms, Admin, Gym - Gainesville</t>
  </si>
  <si>
    <t>Replace the HVAC units in the dorms, administration, and gym buildings with similarly sized units.</t>
  </si>
  <si>
    <t>Backup Generators - Gainesville</t>
  </si>
  <si>
    <t>Finish outfitting the entire campus so that all buildings have backup generators in case of a power outage.</t>
  </si>
  <si>
    <t>Drainage Improvements Front of Campus - Giddings</t>
  </si>
  <si>
    <t>During heavy rain events, the front area of campus is prone to flash flooding. This project will resize the infrastructure to accommodate these events.</t>
  </si>
  <si>
    <t>Structural Repair at Maintenance Office &amp; Auto Shop - Gainesville</t>
  </si>
  <si>
    <t>Recent foundational settling has caused the buildings to develop major cracks in the structure. This project will mitigate and repair the building.</t>
  </si>
  <si>
    <t>Vocational Shop Retaining Wall - Gainesville</t>
  </si>
  <si>
    <t>The loading dock has separated from the building. Repairs are needed with a retaining wall in order to address the issue.</t>
  </si>
  <si>
    <t>Roof Panels @ Storage Structre - Giddings</t>
  </si>
  <si>
    <t>The old greenhouse is currently being used as storage for the Maintenance Dept. Over time the roof panels have deteriorated and this project will provide for a new roof.</t>
  </si>
  <si>
    <t>Access Road to Lake - Giddings</t>
  </si>
  <si>
    <t>Current ingress/egress to campus lake overflow is over bare field. This project will provide for an access road for Maintenance to traverse.</t>
  </si>
  <si>
    <t>Replace Fire Alarm System - Giddings</t>
  </si>
  <si>
    <t>The fire alarm systems across campus have reached the end of their useful lives and parts are hard to get. This project will replace and update.</t>
  </si>
  <si>
    <t>Replace Landline - Giddings</t>
  </si>
  <si>
    <t>The original landline network is old and unreliable. Numerous outages have occurred and a total replacement would be necessary.</t>
  </si>
  <si>
    <t>Replace Gym Floor - Brownwood</t>
  </si>
  <si>
    <t>The gym floor is original and full of hazards to youth playing on it. Replacement is warranted to prevent falls and trips.</t>
  </si>
  <si>
    <t>HVAC Duct Cleaning - McLennan</t>
  </si>
  <si>
    <t>None of the ductwork on campus has ever been cleaned since the campus opened. Cleaning would improve the air quality in the buildings.</t>
  </si>
  <si>
    <t>Campuswide Drainage Improvments - McLennan</t>
  </si>
  <si>
    <t>Improved erosion control and storm water management upgrades are needed campuswide.</t>
  </si>
  <si>
    <t>Roof Replacement Dorms 1/2 &amp; Infirmary - Evins</t>
  </si>
  <si>
    <t>These roofs have leaking problems and are suseptable to storm damage.</t>
  </si>
  <si>
    <t>Sidewalk Improvements Campuswide - Gainesville</t>
  </si>
  <si>
    <t>Sidewalks have cracked and separated over time throughout campus and repairs are needed to prevent trip hazards.</t>
  </si>
  <si>
    <t>Campuswide Drainage Improvments - Gainesville</t>
  </si>
  <si>
    <t>Unanticipated Critical Maintenance Life/Safety</t>
  </si>
  <si>
    <t>This project will address any unanticipated, critical maintenance issues arising over the coming two years.</t>
  </si>
  <si>
    <t>Texas Department of Criminal Justice - 696</t>
  </si>
  <si>
    <t>Jerry McGinty, Chief Financial Officer</t>
  </si>
  <si>
    <t>03017005</t>
  </si>
  <si>
    <t>Jester III Unit, Richmond</t>
  </si>
  <si>
    <t>Facilty Repair:  Convert TCI Factory to Sheltered Beds</t>
  </si>
  <si>
    <t>Economic Stabilization Fund No. 0599</t>
  </si>
  <si>
    <t>06717005</t>
  </si>
  <si>
    <t>Telford Unit, New Boston</t>
  </si>
  <si>
    <t>12917002</t>
  </si>
  <si>
    <t>Young Unit, Dickinson</t>
  </si>
  <si>
    <t>Facility Repair:  Convert Surgical Suites to Sheltered Beds</t>
  </si>
  <si>
    <t>Lychner Unit, Humble</t>
  </si>
  <si>
    <t>Security: Replace Intercom System</t>
  </si>
  <si>
    <t>09115026</t>
  </si>
  <si>
    <t>Chasefield Unit, Beeville</t>
  </si>
  <si>
    <t>Roofing:  Replace Roof - Maintenance Building</t>
  </si>
  <si>
    <t>02214021</t>
  </si>
  <si>
    <t>Beto Unit, Tennessee Colony</t>
  </si>
  <si>
    <t>Facility Repair: Renovate Vault &amp; Replace Refrigeration System - Icehouse</t>
  </si>
  <si>
    <t>01215009</t>
  </si>
  <si>
    <t>Goree Unit, Huntsville</t>
  </si>
  <si>
    <t>Facility Repair:  Construct Enclosure - Intake Processing</t>
  </si>
  <si>
    <t>01313001</t>
  </si>
  <si>
    <t>Huntsville Unit, Huntsville</t>
  </si>
  <si>
    <t>Roofing:  Replace Roof and Repair North Wall - Infirmary Building</t>
  </si>
  <si>
    <t>04317001</t>
  </si>
  <si>
    <t>Kyle Unit, Kyle</t>
  </si>
  <si>
    <t>Facility Repair:  Replace Ceiling - Main Hallway &amp; Kitchen</t>
  </si>
  <si>
    <t>02710004</t>
  </si>
  <si>
    <t>Terrell Unit, Rosharon</t>
  </si>
  <si>
    <t>Infrastructure:  Replace Concrete Drive / Back Gate</t>
  </si>
  <si>
    <t>07015010</t>
  </si>
  <si>
    <t>Neal Unit, Amarillo</t>
  </si>
  <si>
    <t>Roofing:  Replace Roof - Beef Processing Plant</t>
  </si>
  <si>
    <t>01017017</t>
  </si>
  <si>
    <t>Ellis Unit, Huntsville</t>
  </si>
  <si>
    <t>Facility Repair:  Install Water Conservation System - Multiple Locations</t>
  </si>
  <si>
    <t>06115001</t>
  </si>
  <si>
    <t>Cotulla Unit,  Cotulla</t>
  </si>
  <si>
    <t>Facility Repair:  Replace Shower - Multiple Locations</t>
  </si>
  <si>
    <t>06313004</t>
  </si>
  <si>
    <t>Duncan Unit, Diboll</t>
  </si>
  <si>
    <t>Facility Repair:  Replace Shower Stalls - Unit Wide</t>
  </si>
  <si>
    <t>03612001</t>
  </si>
  <si>
    <t>Michael Unit, Tennessee Colony</t>
  </si>
  <si>
    <t>Infrastructure:  Construct Elevated Storage Tank &amp; Replace Ground Storage Tank</t>
  </si>
  <si>
    <t>01608001</t>
  </si>
  <si>
    <t>Mt. View Unit, Gatesville</t>
  </si>
  <si>
    <t>Infrastructure:  Replace Water Lines - Distribution System &amp; Replace Ground Water Storage</t>
  </si>
  <si>
    <t>03708003</t>
  </si>
  <si>
    <t>Clements Unit, Amarillo</t>
  </si>
  <si>
    <t>Safety:  Repair/Replace Fire Line - Administrative Segregation</t>
  </si>
  <si>
    <t>00613017</t>
  </si>
  <si>
    <t>Coffield Unit, Tennessee Colony</t>
  </si>
  <si>
    <t>Facility Repair:  Replace Flooring - Kitchen</t>
  </si>
  <si>
    <t>00615025</t>
  </si>
  <si>
    <t>Facility Repair:  Install Showers - Multiple Locations</t>
  </si>
  <si>
    <t>12107001</t>
  </si>
  <si>
    <t>Lindsey Unit, Jacksboro</t>
  </si>
  <si>
    <t>Infrastructure:  Correct Drainage Problems - Multiple Buildings</t>
  </si>
  <si>
    <t>03312003</t>
  </si>
  <si>
    <t>Jester IV, Richmond</t>
  </si>
  <si>
    <t>Roofing:  Replace Roof - Psychiatric Facility</t>
  </si>
  <si>
    <t>02217005</t>
  </si>
  <si>
    <t>Infrastructure:  Install Transformer - Substation</t>
  </si>
  <si>
    <t>01717008</t>
  </si>
  <si>
    <t>Ramsey Unit, Rosharon</t>
  </si>
  <si>
    <t>Roofing:  Replace Roof - Main Building</t>
  </si>
  <si>
    <t>04813003</t>
  </si>
  <si>
    <t>McConnell Unit, Beeville</t>
  </si>
  <si>
    <t>Infrastructure:  Replace Steam &amp; Condensate Lines</t>
  </si>
  <si>
    <t>03115010</t>
  </si>
  <si>
    <t>Hilltop Unit, Gatesville</t>
  </si>
  <si>
    <t>Roofing:  Replace Roof - Medical Department</t>
  </si>
  <si>
    <t>03217006</t>
  </si>
  <si>
    <t>Estelle Unit, Huntsville</t>
  </si>
  <si>
    <t>04816012</t>
  </si>
  <si>
    <t>Security:  Replace Cell Doors - Multiple Locations</t>
  </si>
  <si>
    <t>N/A</t>
  </si>
  <si>
    <t>01616002</t>
  </si>
  <si>
    <t>Security:  Replace Cell Doors - Administrative Segregation</t>
  </si>
  <si>
    <t>05416004</t>
  </si>
  <si>
    <t>Polunsky Unit, Livingston</t>
  </si>
  <si>
    <t>02812001</t>
  </si>
  <si>
    <t>Powledge Unit, Palestine</t>
  </si>
  <si>
    <t>Infrastructure:  Repair Washout - Outfall Line - Wastewater Treatment Plant</t>
  </si>
  <si>
    <t>03613004</t>
  </si>
  <si>
    <t>Roofing:  Replace Roof - Multiple Buildings</t>
  </si>
  <si>
    <t>03608011</t>
  </si>
  <si>
    <t>01017018</t>
  </si>
  <si>
    <t>Infrastructure:  Install Water Wells</t>
  </si>
  <si>
    <t>03615011</t>
  </si>
  <si>
    <t>Infrastructure: Replace Water Line - Between Well &amp; Ground Storage</t>
  </si>
  <si>
    <t xml:space="preserve"> </t>
  </si>
  <si>
    <t>Texas Department of Public Safety - 0405</t>
  </si>
  <si>
    <t>85th Legislature - $12M DM Projects</t>
  </si>
  <si>
    <t>Type - Original</t>
  </si>
  <si>
    <t>Type - Adjusted</t>
  </si>
  <si>
    <t>Current Estimated Project Budget (for 1st Qtr.)</t>
  </si>
  <si>
    <t>FY 2018-19
Expended</t>
  </si>
  <si>
    <t>ST-TEMP-18-62601</t>
  </si>
  <si>
    <t>Statewide DM Staff</t>
  </si>
  <si>
    <t>Professional staff employed by DPS and/or contractors to administer DM projects</t>
  </si>
  <si>
    <t xml:space="preserve">Economic Stabilization Fund (ESF) </t>
  </si>
  <si>
    <t>ST-IWMS-18-62930</t>
  </si>
  <si>
    <t>Statewide
Integrated Workplace Management System</t>
  </si>
  <si>
    <t>A computerized Integrated Workplace Management system (IWMS) that is web based and can be implemented statewide is needed to track and plan for maintenance of DPS facilities.  As funding permits, this will include  the implementation of space management, inventory management, lease management, and environmental sustainability integration.</t>
  </si>
  <si>
    <t>Dis-Approved Projects</t>
  </si>
  <si>
    <t xml:space="preserve">ESF </t>
  </si>
  <si>
    <t>ST-FCA-18-62931</t>
  </si>
  <si>
    <t>Statewide
Facility Condition Assessment</t>
  </si>
  <si>
    <t>Statewide Assessment:   An updated professional statewide Facility Condition Assessment study is needed to identify current deferred maintenance and capital renewal projects and associated costs.</t>
  </si>
  <si>
    <t>ST-CON-18-62932</t>
  </si>
  <si>
    <t>Statewide
Unexpected DM repairs/Project Contingency</t>
  </si>
  <si>
    <t>Statewide
Unexpected DM repairs/Project Contingency:  Emergency deferred maintenance repairs includes all trades listed above and unforeseen emergency building/infrastructure repairs as necessary for prior biennium and current DM projects.</t>
  </si>
  <si>
    <t>ST-SEC-18-62933</t>
  </si>
  <si>
    <t>Statewide Security Upgrade/Replacements</t>
  </si>
  <si>
    <t>Replace and upgrade access controls, video surveillance systems, door hardware, exterior doors, replace broken/old cameras, add cameras, and add access control where needed. .</t>
  </si>
  <si>
    <t>ST-UST-18-62934</t>
  </si>
  <si>
    <t>Statewide
Fuel System Removal/Replace</t>
  </si>
  <si>
    <t>Remove underground storage tanks and replace with above ground storage tanks (approximately 30 sites)</t>
  </si>
  <si>
    <t>ST-TEST-18-62935</t>
  </si>
  <si>
    <t>Statewide
Support Project Consultants</t>
  </si>
  <si>
    <t>Funding for design team, testing, consulting, commissioning, CMT, inspections type of expenditures associated with projects.</t>
  </si>
  <si>
    <t>21 M</t>
  </si>
  <si>
    <t>HQ-C-18-62936</t>
  </si>
  <si>
    <t>Austin HQ (Building c)
HVAC System Replacement
5805 North Lamar Blvd
Austin, Texas 78752</t>
  </si>
  <si>
    <t>HVAC System including piping, chiller, add DDC, etc</t>
  </si>
  <si>
    <t>HQ-E-18-62937</t>
  </si>
  <si>
    <t>Austin HQ (Building E)
Chiller Replacement
5805 North Lamar Blvd
Austin, Texas 78752</t>
  </si>
  <si>
    <t>Replace chillers</t>
  </si>
  <si>
    <t>2-HHQ-18-62938</t>
  </si>
  <si>
    <t>Houston Regional Headquarters (West Road) Crime Lab (Reg 2)
Chiller Replacement
12230 West Road
Jersey Village, Texas 77065</t>
  </si>
  <si>
    <t xml:space="preserve">Replace second chiller / Replace both boilers with outdoor rated boilers </t>
  </si>
  <si>
    <t>2-HHQ-18-62939</t>
  </si>
  <si>
    <t>Houston Regional Headquarters (Reg 2)
Chiller Replacement
12230 West Road
Jersey Village, Texas 77065</t>
  </si>
  <si>
    <t xml:space="preserve">Replace both chillers </t>
  </si>
  <si>
    <t>5-PLA-18-62940</t>
  </si>
  <si>
    <t xml:space="preserve">Plainview Area Office (Reg 5)
Roof Replacement
1108 South Columbia/Business I-27
Plainview, Texas 79072 </t>
  </si>
  <si>
    <t>Roof Replacement (approx. 7,500 sf - main/storage)</t>
  </si>
  <si>
    <t>2-HUN-18-62941</t>
  </si>
  <si>
    <t>Huntsville Area Office (Reg 2)
Roof Replacement
523 South Highway 75 North
Huntsville, Texas 77320</t>
  </si>
  <si>
    <t>Roof Replacement (approx. 4,129 sf - main)</t>
  </si>
  <si>
    <t>HQ-CAM-18-62942</t>
  </si>
  <si>
    <t>Austin HQ (Campus)
Campus Upgrade
5805 North Lamar Blvd
Austin, Texas 78752</t>
  </si>
  <si>
    <t>Comprehensive site upgrade to variety of infrastructure to include parking, site lighting, irrigation, power washing mildewed buildings, etc.</t>
  </si>
  <si>
    <t>Texas Parks and  Wildlife Department</t>
  </si>
  <si>
    <t>Infrastructure Division</t>
  </si>
  <si>
    <t>127490</t>
  </si>
  <si>
    <t>Battleship Texas SHP - Structural Repairs                                                                                                                                              3523 Independence Parkway S LaPorte, TX,77571 (Harris County)</t>
  </si>
  <si>
    <t>Construction administration and Balance of work to repair internal structural elements, identified in an October 2012 scope of work, which is necessary to stabilize the ship . Repairs are critical if the ship remains in a wet berth and would be absolutely necessary if ship is ever placed into a dry berth.</t>
  </si>
  <si>
    <t xml:space="preserve">General Revenue - Deferred Maintenance (State Parks) </t>
  </si>
  <si>
    <t>116818</t>
  </si>
  <si>
    <t>Fort Richardson SHS - Water and Wastewater System Replacement                                                                                                                228 State Park Road 61 Jacksboro, TX 76458 (Jack County)</t>
  </si>
  <si>
    <t>Planning and design costs to replace the 50-year-old wastewater system, water distribution system and the main lift station with modernized and efficient systems capable of saving water resources while servicing the entire park.</t>
  </si>
  <si>
    <t>116151</t>
  </si>
  <si>
    <t>Seminole Canyon SHS - Camp Loop Upgrades                                                                                                                                  US Hwy 90 W Comstock, TX 78837 (Val Verde County)</t>
  </si>
  <si>
    <r>
      <rPr>
        <sz val="12"/>
        <rFont val="Arial"/>
        <family val="2"/>
      </rPr>
      <t xml:space="preserve">Planning and design costs to upgrade the Desert Vista Camp Loop's utilities, to include replacement and repairs to the On Site Sewage Facility System, water well, storage tank, pumps, and associated appurtenances, accessible restroom </t>
    </r>
    <r>
      <rPr>
        <sz val="11"/>
        <color theme="1"/>
        <rFont val="Calibri"/>
        <family val="2"/>
        <scheme val="minor"/>
      </rPr>
      <t>upgrades, and electrical service.</t>
    </r>
  </si>
  <si>
    <t>126472</t>
  </si>
  <si>
    <t>Goliad SHS - Wastewater System Upgrade                                                                                                                                               108 Park Rd Goliad, TX 77963-3206 (Goliad County)</t>
  </si>
  <si>
    <t>Planning and design costs to replace obsolete clay wastewater lines and systems, lift station, septic tanks, and drain fields  with a modernized, efficient system capable of servicing the entire site, which includes the Hacienda, Mission workshop, CCC Restroom, Old River Restroom, park headquarters, group dining hall, camp loop, and residence.</t>
  </si>
  <si>
    <t>117535</t>
  </si>
  <si>
    <t>Copper Breaks SP - Water Distribution System Replacement                                                                                                                  777 Park Road 62 Quanah,79252-7679 (Hardman County)</t>
  </si>
  <si>
    <t>Replace a 50-year-old, leaking water distribution system and chlorination station with a modernized and efficient system capable of saving water resources while servicing the entire park.</t>
  </si>
  <si>
    <t>116471</t>
  </si>
  <si>
    <t>Balmorhea SP - CCC Motor Court Renovations, Utility Upgrades and Headquarters Replacement - Planning and Design                                                                                                                                                                        9207 H. 17S Toyahvale, TX (Reeves County)</t>
  </si>
  <si>
    <t xml:space="preserve">Renovate 18 Civilian Conservation Corps (CCC) motel units at the San Solomon Springs Motel Court, to include repairing termite damaged woodwork; upgrade the water and wastewater utilities and campground electrical utility service from 30 amp to 50 amp; renovate camp loop restrooms. </t>
  </si>
  <si>
    <t>117494</t>
  </si>
  <si>
    <t>Pedernales Falls SP - Restroom Replacements                                                                                                                  2585 Park Road 6026 Johnson City, TX 78636 (Blanco County)</t>
  </si>
  <si>
    <t xml:space="preserve">Replace one public restroom complex. Scope of work also includes development of utilities and parking. Structures will be site-built and designed to meet all accessibility, building code, and public health requirements. Building materials to be vandal resistant and assist in facility clean up and longevity.  </t>
  </si>
  <si>
    <t>122865</t>
  </si>
  <si>
    <t>Huntsville SP - CCC Boathouse and Lodge Patio Wall Repairs                                                                                                                565 Park Road 40 W Huntsville, TX 77342-0508 (Walker County)</t>
  </si>
  <si>
    <t>Planning and design costs to renovate Civilian Conservation Corps (CCC) boathouse  to include restoring the exterior hardwood siding, repairing the roof as well as interior and exterior structural damages, and repairing and stabilizing the Lodge's patio wall.</t>
  </si>
  <si>
    <t>116921</t>
  </si>
  <si>
    <t>Palo Duro Canyon SP - Headquarters Replacement                                                                                                                13 Miles E of Canyon at end of Hwy 217 Canyon, TX 79015 (Randall County)</t>
  </si>
  <si>
    <t>Planning costs for site headquarters replacement.  Headquarters is currently operating out of an under-sized converted residence and the project would provide an adequately-sized and modern facility to better serve the increasing number of visitors.</t>
  </si>
  <si>
    <t>117504</t>
  </si>
  <si>
    <t>Garner SP - Water System Upgrades                                                                                                                                                            US 83 N Concan, TX 78838 (Uvalde County)</t>
  </si>
  <si>
    <t xml:space="preserve">Planning and design costs to upgrade the park's overall water system, including treatment to reduce water hardness, and replace water distribution lines serving several park facilities in order to reduced system maintenance costs. </t>
  </si>
  <si>
    <t>117536</t>
  </si>
  <si>
    <t>Fairfield Lake SP - Wastewater Treatment Plant Repairs                                                                                                                                                                                         TX 2570 E Fairfield, TX 75840 (Freestone County)</t>
  </si>
  <si>
    <t>Replace the mechanical systems at two existing wastewater treatment plants with modernized and efficient systems that are capable of saving water resources while servicing the entire park.</t>
  </si>
  <si>
    <t>117505</t>
  </si>
  <si>
    <t>Statewide - Unspecified State Park State Park Region 3  Restroom Replacement Program</t>
  </si>
  <si>
    <t xml:space="preserve">Replace three public restroom complexes at Guadalupe State Park camping and day-use areas and one restroom complex at Government Canyon State Natural Area. Sanitary complexes to include showers and development of utilities and parking. Structures will be site-built and designed to meet all accessibility, building code, and public health requirements. Building materials to be vandal resistant and assist in facility clean up and longevity.  </t>
  </si>
  <si>
    <t>126496</t>
  </si>
  <si>
    <t>Tyler SP - Residence Replacements                                                                                                                                               789 Park Rd 16 Tyler, TX 75706-9141 (Smith County)</t>
  </si>
  <si>
    <t>Replace two obsolete staff residences with two adequately-sized, durable, 1,800 square feet, three bedroom / two bath, energy-efficient structures, to include utility connections, parking and associated paving.</t>
  </si>
  <si>
    <t>127483</t>
  </si>
  <si>
    <t>Lake Tawakoni SP - Residence Replacement                                                                                                                                  10822 FM 2475 Willis Point, TX 75169 (Hunt Van Zandt County)</t>
  </si>
  <si>
    <t>Replace mobile home residence with an adequately-sized, durable, 1,800 square feet, three bedroom / two bath, energy-efficient structure, to include utility connections, parking and associated paving.</t>
  </si>
  <si>
    <t>127358</t>
  </si>
  <si>
    <t>Mission Tejas SHS - Replace Visitor Center                                                                                                                                                                                          120 State Park Rd. 4 Grapeland, TX 75844 (Houston County)</t>
  </si>
  <si>
    <t xml:space="preserve">Replace visitor center that was destroyed by Hurricane Ike.  New facility will include offices, assembly area, visitor check-in area, a new entry road and parking lot, utility extensions, and interpretive displays to educate visitors about the El Camino Real Trail.    </t>
  </si>
  <si>
    <t>117449</t>
  </si>
  <si>
    <t>Fort Leaton SHS - Roof Replacement                                                                                                                                                           FM 170 E Presidio, TX 79845 (Presidio County)</t>
  </si>
  <si>
    <t xml:space="preserve">Replace leaking roof to preserve the historic structure and protect the building and contents from further water damage.  </t>
  </si>
  <si>
    <t>117534</t>
  </si>
  <si>
    <t>Devil's River SP - Septic System Replacement                                                                                                                                           101 N. Sweeten Street Rocksprings, TX 78880 (Edward County)</t>
  </si>
  <si>
    <t xml:space="preserve">Replace multiple obsolete septic systems to meet TCEQ requirements. </t>
  </si>
  <si>
    <t>122888</t>
  </si>
  <si>
    <t>Monument Hill/Kreische Brewery SHS - Kreische House and Brewery Renovations                                                                                                                                                         414 State Loop 92 LaGrange, TX 78945 (Fayette County)</t>
  </si>
  <si>
    <t xml:space="preserve">Planning and design costs to renovate the interior and exterior of the historic Kreische House and Brewery to include water damage repairs and renovation of the cedar shake roof, structural elements, woodwork, floors, windows, stone work, finishes, historic furniture, and water diversion landscaping to protect the structures during flooding. </t>
  </si>
  <si>
    <t>114228</t>
  </si>
  <si>
    <t>Colorado Bend SP - Water Treatment Plant Replacement                                                                                                                                                    10 miles S of Bend on Gravel Rd Bend, TX 76824 (San Saba County)</t>
  </si>
  <si>
    <t xml:space="preserve">Planning and design costs to replace the water treatment plant with a new system to include a storage tank and ground water well. </t>
  </si>
  <si>
    <t>114243</t>
  </si>
  <si>
    <t>Pedernales Falls SP - Water and Wastewater System Upgrades                                                                                                                                                             2585 Park Road 6026 Johnson City, TX 78636 (Blanco County)</t>
  </si>
  <si>
    <t>Planning and design costs to upgrade the obsolete water treatment plant to include four septic fields, drain fields and the water filtration system, in order to save water resources and provide an adequate system capable of saving water resources while better serving park visitors.</t>
  </si>
  <si>
    <t>117260</t>
  </si>
  <si>
    <t>Ray Roberts Lake SP - Johnson Branch Unit Compost Toilet Replacements                                                                                                              100 PW 4137 Pilot Point 765258-8944 (Denton County)</t>
  </si>
  <si>
    <t>Replace seven obsolete compost toilets with modular vault toilets to serve several trail and camping areas and revise any pathways for ADA compliance.</t>
  </si>
  <si>
    <t>127438</t>
  </si>
  <si>
    <t xml:space="preserve">Lake Livingston SP - Marina Area and Fishing Pier Accessibility Upgrades and Repairs                                                                                                                                                                300 State Park Road 65 Livingston, TX 77351 (Polk County)                                                                                                                                                                         </t>
  </si>
  <si>
    <t>Planning and design costs to renovate the Marina Area and Fishing Pier to include: repairs to restrooms, courtesy dock, fueling stations, electrical and lighting systems, and the accessible routes between facilities and parking due to soil subsidence.</t>
  </si>
  <si>
    <t>114238</t>
  </si>
  <si>
    <t>Inks Lake SP - Headquarters Building Replacement - Planning and Design                                                                                                                                       3630 Pk Rd 4 W Burnet, TX 78611 (Burnett County)</t>
  </si>
  <si>
    <t xml:space="preserve">Planning and design costs to replace the under-sized headquarters building with one which includes an adequately-sized lobby and registration area and office, as well as additional restrooms, to meet staff and visitor needs.  Improve traffic flow around the headquarters site. </t>
  </si>
  <si>
    <t>117359</t>
  </si>
  <si>
    <t>McKinney Falls SP - Smith Visitor Center Facility and Exhibit Renovation                                                                                                                              5808 McKinney Falls Austin, TX 78744 (Travis County)</t>
  </si>
  <si>
    <t xml:space="preserve">Renovate the Smith Visitor Center including upgrading a learning center to serve as an interactive classroom with new interpretive exhibits to educate students and park visitors about the El Camino Real Trail. </t>
  </si>
  <si>
    <t>118102</t>
  </si>
  <si>
    <t>Bastrop SP - Shore Stabilization                                                                                                                                           100 Park Road 1 A Bastrop, TX 78602 (Bastrop County)</t>
  </si>
  <si>
    <t xml:space="preserve">Stabilization of shoreline adjacent to Cabins #1 and #12. </t>
  </si>
  <si>
    <t>127360</t>
  </si>
  <si>
    <t>Goliad SHS - Custodian's Cottage Renovation and Adaptive Reuse to Interpretive Facility                                                                                                                                        108 Park Rd Goliad, TX 77963-3206 (Goliad County)</t>
  </si>
  <si>
    <t>Renovate the CCC Custodian's Cottage to convert its use from administrative offices to an adequately-sized interpretive facility which will educate visitors about the El Camino Real Trail.  Renovations will include restoration of formal gardens and a new parking lot.</t>
  </si>
  <si>
    <t>126719</t>
  </si>
  <si>
    <t>Mustang Island SP - Campground and Day-Use Area Restroom Replacements                                                                                                                                                     17047 State Hwy 36 Port Aransas, TX 78373 (Nueces County)</t>
  </si>
  <si>
    <t xml:space="preserve">Replace two obsolete restrooms with one large restroom complex. The scope of work includes a new forty-four fixture count restroom facility, five new host sites, all associated site work, utilities, parking, and the hazmat removal and demolition of the existing restroom. </t>
  </si>
  <si>
    <t>126912</t>
  </si>
  <si>
    <t>Caddo Lake SP - Water System Upgrade                                                                                                                                                                245 Park Rd 2 Karnack, TX (Harrison county)</t>
  </si>
  <si>
    <t>Planning and design costs to upgrade domestic water source to treat for excessive amounts of iron in the water and prevent further damage to plumbing fixtures throughout the park.  Repairs include new storage tanks, pump systems, gas chlorination system, iron removal filter, refurbished hydro pneumatic tank, electrical improvements, and a pump house.</t>
  </si>
  <si>
    <t>117106</t>
  </si>
  <si>
    <t>Indian Lodge - Exterior Plaster and HVAC Replacement                                                                                                                TX Hwy 118 N, Park Rd 3 Fort Davis, TX 79734 (Jeff Davis County)</t>
  </si>
  <si>
    <t xml:space="preserve">Renovate the historic facility to include exterior plaster repairs and replace obsolete HVAC units with energy-efficient systems.  </t>
  </si>
  <si>
    <t>115356</t>
  </si>
  <si>
    <t>Choke Canyon State Park (South Shore Unit) - Boat Ramp                                                                                                                                    358 Recreation Rd 8  Calliham, TX 78007 (Live Oak County)</t>
  </si>
  <si>
    <t>Repair boat ramp which may include accessibility upgrades, courtesy docks, piers and renovation of existing facilities.</t>
  </si>
  <si>
    <t>115389</t>
  </si>
  <si>
    <t>Fort Parker State Park - Boat Ramp                                                                                                                                       194 Park Rd 28 Mexia, Tx 76667 (Limestone County)</t>
  </si>
  <si>
    <t>117036</t>
  </si>
  <si>
    <t>Ray Roberts Lake SP - Isle du Bois Unit  - Boat Ramp                                                                                                              100 PW 4137 Pilot Point 765258-8944 (Denton County)</t>
  </si>
  <si>
    <t>117503</t>
  </si>
  <si>
    <t>Inks Lake SP - Multiple Restroom Replacements                                                                                                                                          3630 Pk Rd 4 W Burnet, TX 78611 (Burnett County)</t>
  </si>
  <si>
    <t xml:space="preserve">Replace four public restroom complexes. Scope of work also includes development of utilities and parking. Sanitary complexes to include showers and development of utilities and parking. Structures will be site-built and designed to meet all accessibility, building code, and public health requirements. Building materials to be vandal resistant and assist in facility clean up and longevity.  </t>
  </si>
  <si>
    <t>117495</t>
  </si>
  <si>
    <t>Albert and Bessie Kronkosky SNA - Public Use Development - Planning and Design                                                                                                                                                                                                                                                                                                                                                                                7690 Hwy 46 West Pipe Creek, TX 78063 (Bandera County)</t>
  </si>
  <si>
    <t>Advance planning costs to develop newly acquired site and install infrastructure, including utilities, parking, roadways, restrooms, toilets, and a fee collection booth at headquarters.  Site development would allow public access and would meet public use needs as required by the land use agreement, which would generate revenue and provide significant outdoor opportunities.</t>
  </si>
  <si>
    <t>127510</t>
  </si>
  <si>
    <t>Stephen F Austin SHS - Wastewater Treatment Plant Equalization Basin Installation                                                                                                                                                                                                                                                                                                                                                                                    3 miles E of Sealy on IH 10 San Felipe, TX 77473-0125 (Austin County)</t>
  </si>
  <si>
    <t xml:space="preserve">Planning and design costs to install equalization basin at wastewater treatment plant in order to provide adequate pace flow into the plant during peak usage. </t>
  </si>
  <si>
    <t>114144</t>
  </si>
  <si>
    <t>Austin Headquarters Complex - HVAC Control System Replacement                                                                                                                                         4200 Smith School Road Austin, TX 78744 (Travis County)</t>
  </si>
  <si>
    <t>Replace the existing climate control system at Austin Headquarters Complex with an updated HVAC Management System which is supported by current industry vendors and allows for remote adjustments by the energy performance contractor.</t>
  </si>
  <si>
    <t>118450</t>
  </si>
  <si>
    <t>Buescher SP - Boundary Fence Replacement - Fire Recovery                                                                                                                                                                                                                                                                                                                                                                                                                                                         100 Park Road 1E Smithville, TX 78957-0075 (Bastrop County)</t>
  </si>
  <si>
    <t xml:space="preserve">Replace approximately 7.5 miles of boundary fence around Buescher State Park and along Park Road 1-C, a majority of which sustained significant damage or was totally destroyed in a wildfire that began mid October 2015.  </t>
  </si>
  <si>
    <t>118414</t>
  </si>
  <si>
    <t>Lake Whitney SP - Camp Loop Restroom - Flood Recovery                                                                                                                                                                                                                                                                                                                                                                                                                   433 FM 1244 Whitney, TX 76692 (Hill County)</t>
  </si>
  <si>
    <t>Restore Restroom #5 at Area E's interior finishes and critical structural components prior to re-opening the facility which was damaged in the 2016 Flood.</t>
  </si>
  <si>
    <t>137395</t>
  </si>
  <si>
    <t>McKinney Falls SP - Restroom #4 Upper Falls North - Flood Recovery                                                                                                                                                                                                                                                                                                                                                                                                           5808 McKinney Falls Pkwy Austin, TX 78744 (Travis County)</t>
  </si>
  <si>
    <t>Repair interior and exterior finishes damaged by the flood.  Work will also address major mechanical, electrical and plumbing systems needed to restore full function of the restroom facility.</t>
  </si>
  <si>
    <t>128233</t>
  </si>
  <si>
    <t>Stephen F Austin SHS - Water Tank Repairs                                                                                                                                                                                                  3 miles E of Sealy on IH 10 San Felipe, TX 77473-0125 (Austin County)</t>
  </si>
  <si>
    <t xml:space="preserve">Pressure wash and repaint elevated water tank per TCEQ regulations. </t>
  </si>
  <si>
    <t>124545</t>
  </si>
  <si>
    <t>Huntsville SP - Dam Repair                                                                                                                                                                                              565 Park Road 40 W Huntsville, TX 77342-0508 (Walker County)</t>
  </si>
  <si>
    <t xml:space="preserve">Fortify and repair the earthen embankment and spillway. </t>
  </si>
  <si>
    <t>132907</t>
  </si>
  <si>
    <t>Bastrop SP - Group Barracks Complex Renovation                                                                                                                  100 Park road 1 A Bastrop, TX 78602 (Bastrop County)</t>
  </si>
  <si>
    <t>Renovate the Group Barracks Complex, which includes four dormitory buildings and one group dinning hall. The existing obsolete restroom will be demolished; restroom/shower facilities will be added to each dormitory facility. The renovations include updating of all mechanicals, plumbing, electrical, and site modifications to become code compliant and improve visitor experience.</t>
  </si>
  <si>
    <t>125986</t>
  </si>
  <si>
    <t xml:space="preserve">Port Isabel Lighthouse - Light house repairs; replace corroded metal                                                                                                                                421 East Queen Isabella Blvd Port Isabel, TX 78578 (Cameron County) </t>
  </si>
  <si>
    <t>Repair and/or replace corroded exterior metal components on the Port Isabel Lighthouse at the Watch room and Lantern Levels and repaint lighthouse exterior.</t>
  </si>
  <si>
    <t>137824</t>
  </si>
  <si>
    <t>Longhorn Caverns - Communications System and Surge Protection                                                                                                                                              6211 Park Rd 4 So. Burnet, TX 78611 (Burnet County)</t>
  </si>
  <si>
    <t>Install communication system for the cavern to protect the public in the event of an emergency.</t>
  </si>
  <si>
    <t>134232</t>
  </si>
  <si>
    <t>Hill Country SNA - Replace Well at Group Lodge                                                                                                            10600 Bandera Creed Rd Bandera, TX 78003 (Bandera County)</t>
  </si>
  <si>
    <t>Install water system at group lodge to provide potable water to guests.</t>
  </si>
  <si>
    <t>134239</t>
  </si>
  <si>
    <t>Lost Maples SNA - Replace Potable Water Storage Tank                                                                                                                                                                    37221 FM 187 Vanderpool, TX 78885 (Bandera County)</t>
  </si>
  <si>
    <t>Replace deteriorating drinking water storage tank with a new system in order to address a high iron content in the facility's water supply and meet TCEQ regulations.</t>
  </si>
  <si>
    <t>137394</t>
  </si>
  <si>
    <t>McKinney Falls SP - Smith Visitor's Center Flood Damage Repairs                                                                                                                                                           5808 McKinney Falls Austin, TX 78744 (Travis County)</t>
  </si>
  <si>
    <t>Repair all interior finishes, associated mechanical, electrical, and plumbing systems damaged by flood waters.  Reconstruct the interior restroom to meet TDLR standards.</t>
  </si>
  <si>
    <t>136423</t>
  </si>
  <si>
    <t>Davis Mountains SP - Communications Bldg. Repairs                                                                                                                    TX HWY 118 N, Park Rd 3 Fort Davis, TX 79734 (Jeff Davis County)</t>
  </si>
  <si>
    <t>Replace fire damaged radio house with a permanent facility to maintain park radio communications within the park and region.</t>
  </si>
  <si>
    <t>112741</t>
  </si>
  <si>
    <t>Tyler SP - Headquarters Replacement                                                                                                                                       789 Park Rd 16 Tyler, TX 75706-9141 (Smith County)</t>
  </si>
  <si>
    <t>Planning and design cost for replacing the headquarters facility with new, adequately-sized ADA-compliant building, road, parking lot, and entrance.</t>
  </si>
  <si>
    <t>118540</t>
  </si>
  <si>
    <t>Devil's River SP - New Visitor Check-in Building and Remodel of Existing Lodge.                                                                                                         101 N. Sweeten Street Rocksprings, TX 78880 (Edward County)</t>
  </si>
  <si>
    <t xml:space="preserve">Planning and design costs to develop the newly acquired south unit. </t>
  </si>
  <si>
    <t>126107</t>
  </si>
  <si>
    <t>San Jacinto Battleground SHS - Reflection Pool Structural Assessment                                                                                                                                                     3523 Independence Parkway S LaPorte, TX 77571 (Harris County)</t>
  </si>
  <si>
    <t xml:space="preserve">Professional engineering report and assessment for stabilizing and repairing the retaining walls around the reflecting pool. </t>
  </si>
  <si>
    <t>115897</t>
  </si>
  <si>
    <t>Palo Duro Canyon SP - Repairs to Juniper Camp Loop                                         13 Miles E of Canyon at end of Hwy 217 Canyon, TX 79015 (Randall County)</t>
  </si>
  <si>
    <t>Repairs to existing facilities and address storm water drainage issues around the buildings.</t>
  </si>
  <si>
    <t>115900</t>
  </si>
  <si>
    <t>Caddo Lake SP - Restroom Replacement                                                      245 Park Rd 2 Karnack, TX (Harrison county)</t>
  </si>
  <si>
    <t>117585</t>
  </si>
  <si>
    <t>Statewide - Unspecified Radio Tower Assessments</t>
  </si>
  <si>
    <t>Perform repairs on the 35 remotely-located, active TPWD radio tower sites, towers, and building structures supporting the radio equipment.  Repairs will maintain Federal Communications Commission compliance and will meet obligations to maintain the towers and sites as part of lease agreements.</t>
  </si>
  <si>
    <t>118669</t>
  </si>
  <si>
    <t>Austin Headquarters Complex - Multiple HVAC System Upgrades                         4200 Smith School Road Austin, TX 78744 (Travis County)</t>
  </si>
  <si>
    <t>Planning and design costs to upgrade and/or replace aging HVAC system(s) at the Austin HQ facilities.</t>
  </si>
  <si>
    <t>128106</t>
  </si>
  <si>
    <t>Palmetto SP - Group Camp Area Erosion Control                                                78 Park Road 11 South Gonzales, TX 78629 (Gonzalez County)</t>
  </si>
  <si>
    <t>Planning and assessment of riverbank erosion and stabilization recommendation and repairs  below the Group Camp Area</t>
  </si>
  <si>
    <t>128197</t>
  </si>
  <si>
    <t>Galveston Island SP - Repair Historical Residences                                             14901 FM 3005 Galveston, TX 77554 (Galveston County)</t>
  </si>
  <si>
    <t xml:space="preserve">Repairs and upgrades to the historic Stewart House and Ranch House. </t>
  </si>
  <si>
    <t>132416</t>
  </si>
  <si>
    <t>Hill Country SNA - Water System Replacement and Distribution                         10600 Bandera Creed Rd Bandera, TX 78003 (Bandera County)</t>
  </si>
  <si>
    <t>Replace existing water facilities with a new water distribution network.  Add a water treatment system to the main existing well, creating a Public Water System.</t>
  </si>
  <si>
    <t>134236</t>
  </si>
  <si>
    <t>Garner SP - Wastewater Treatment Plant Replacement                                   US 83 N Concan, TX 78838 (Uvalde County)</t>
  </si>
  <si>
    <t>Replace the undersized, leaking wastewater treatment plant with a modernized and efficient system.</t>
  </si>
  <si>
    <t>137357</t>
  </si>
  <si>
    <t>Balmorhea SP - Repair Motel Roofs and Replace Laundry Facility                         9207 H. 17S Toyahvale, TX (Reeves County)</t>
  </si>
  <si>
    <t>Replace the CCC motel building's damaged clay tile roof, and repair critical structural, mechanical, electrical and plumbing systems concealed in the attic space.</t>
  </si>
  <si>
    <t xml:space="preserve">TBD </t>
  </si>
  <si>
    <t>Austin Headquarters Complex - Unspecified Emergency Repairs                                                                                                                                                                                                                                                                                                                                                4200 Smith School Road Austin, TX 78744 (Travis County)</t>
  </si>
  <si>
    <t xml:space="preserve">Funding reserved to address Austin Headquarter Complex emergency repairs. </t>
  </si>
  <si>
    <t xml:space="preserve">General Revenue Dedicated - Deferred Maintenance (Fund9) </t>
  </si>
  <si>
    <t>127570</t>
  </si>
  <si>
    <t>Brownsville Field Station - Replace Storage Building                                         95 Fish Hatchery Road, Brownsville, TX 78520 (Cameron County)</t>
  </si>
  <si>
    <t>Construct building addition to the Main Boat and Truck storage facility.</t>
  </si>
  <si>
    <t xml:space="preserve">General Revenue Dedicated - Deferred Maintenance (SWFS) </t>
  </si>
  <si>
    <t>122081</t>
  </si>
  <si>
    <t>CCA Marine Development Center - Fish America Spawning Building and Ozone Water Purification System Replacement                                                                                                                                                                               4300 Waldron Road Corpus Christi, TX 78418 (Nueces County)</t>
  </si>
  <si>
    <t>Replace the under-sized, 30-year-old, Fish America spawning building with a new 4,000 square foot spawning building at the same location that will withstand the coastal elements.  Building will include staff offices and research space and a new ozone water purification system to replace the existing non-functioning ozone system.</t>
  </si>
  <si>
    <t>128535</t>
  </si>
  <si>
    <t xml:space="preserve">CCA Marine Development Center - Repairs to Ponds 1-10 Harvest Kettles                                                                                                                                                                                                                                                                                                                                                                                                                                                                       4300 Waldron Road Corpus Christi, TX 78418 (Nueces County)  </t>
  </si>
  <si>
    <t>Repair damaged concrete harvest kettles at Ponds 1-10. These ten ponds are original to the site and are in a stage of decay.  Repairs would include structural concrete work and efforts to minimize existing leaks.</t>
  </si>
  <si>
    <t>124743</t>
  </si>
  <si>
    <t>Dickinson Marine Lab - New Boat Storage Facility                                                                                                                                     1502 FM 517 E. Dickinson, TX 77539 (Galveston County)</t>
  </si>
  <si>
    <t>Install three metal boat storage buildings (4,960 square foot total) at the south, east and west sides of an existing paved storage area to secure the boats and protect from weather and vandalism.  Storage buildings shall include power and lighting.</t>
  </si>
  <si>
    <t>125873</t>
  </si>
  <si>
    <t>Dickinson Marine Lab - Roof Replacement                                                                                                                                     1502 FM 517 E. Dickinson, TX 77539 (Galveston County)</t>
  </si>
  <si>
    <t>Replace deteriorated office building roof.</t>
  </si>
  <si>
    <t>128533</t>
  </si>
  <si>
    <t>Perry R Bass Marine Research Station - Replace Residences                                                                                                         HC 02, Box 385 FM 3280 Palacios TX 77465 (Matagorda County)</t>
  </si>
  <si>
    <t xml:space="preserve">Construction administration to complete (2) residence replacements. </t>
  </si>
  <si>
    <t>122405</t>
  </si>
  <si>
    <t>Perry R Bass Marine Research Station - Hatchery Replacement                                                                                                                HC 02, Box 385 FM 3280 Palacios TX 77465 (Matagorda County)</t>
  </si>
  <si>
    <t xml:space="preserve">Planning and design costs for replacement of the under-sized and damaged ponds, hatchery buildings, infrastructure, and jetty pump intake. </t>
  </si>
  <si>
    <t>127861</t>
  </si>
  <si>
    <t>Rockport Annex - Boat Maintenance Shop Repairs      
824 S Fuqua St, Rockport, TX 78382 (Aransas County)</t>
  </si>
  <si>
    <t xml:space="preserve">Renovate existing and install new wall panels and repair roof leaks. </t>
  </si>
  <si>
    <t>124932</t>
  </si>
  <si>
    <t>Sea Center Texas - Fence Replacement                                                                                                                                                     300 Medical Drive Lake Jackson, TX 77566  (Brazoria County)</t>
  </si>
  <si>
    <t>Replace three miles of perimeter fencing in and around the facility with high game fence and an entry fence in order to protect the hatchery from wildlife intrusion.</t>
  </si>
  <si>
    <t>127758</t>
  </si>
  <si>
    <t>Sea Center Texas - Flounder Building                                                                                                                                                                                            300 Medical Drive Lake Jackson, Texas 77566 (Brazoria County)</t>
  </si>
  <si>
    <t xml:space="preserve">Construct new 3000 square foot flounder spawning building. Building will provide additional hatchery floor space for flounder bloodstock and incubation equipment and include a separate room for culture of live feeds. </t>
  </si>
  <si>
    <t>125983</t>
  </si>
  <si>
    <t>Sea Center Texas - Pond Electrical System Improvements                                                                                                                      300 Medical Drive Lake Jackson, Texas 77566  (Brazoria County)</t>
  </si>
  <si>
    <t>Upgrade obsolete electrical service systems at 36 ponds with modern and energy-efficient systems that will improve hatchery operations</t>
  </si>
  <si>
    <t xml:space="preserve">The Tyler Nature Center - Regional Office Replacement                             11942 FM 848, Tyler, TX 75707 (Smith County) </t>
  </si>
  <si>
    <t xml:space="preserve">Construction for phase 1 of the multi-regional complex. The current office complex supports business operations for 5 agency divisions and the existing facilities inadequately support business operations. Phase 1 will address the agency staff currently office in the 1950's Quail Hatchery Building. </t>
  </si>
  <si>
    <t>123377</t>
  </si>
  <si>
    <t>AE Wood Fish Hatchery - Incubation System                                                     507 Staples Rd, San Marcos, TX 78666 (Hays County)</t>
  </si>
  <si>
    <t xml:space="preserve">Renovate portions of the hatchery process systems including tanks, troughs, distribution piping, and valving. </t>
  </si>
  <si>
    <t xml:space="preserve">General Revenue Dedicated - Deferred Maintenance (FWFS) </t>
  </si>
  <si>
    <t>AE Wood Fish Hatchery - Rivers Studies Building                                        507 Staples Rd, San Marcos, TX 78666 (Hays County)</t>
  </si>
  <si>
    <t xml:space="preserve">Construct utilities and site work to install new modular office for the Rivers Studies staff </t>
  </si>
  <si>
    <t xml:space="preserve">Dundee Fish Hatchery - Ozone System                                                              16824 FM1180, Electra, TX 76360 (Archer County) </t>
  </si>
  <si>
    <t xml:space="preserve">Construction of an ozone disinfection system to control toxic golden algae present in the water source. In order to sustain hatchery operation during intermittent or persistent drought conditions, the project would also design and construct a system to collect the effluent from the six hatchery discharge points and pump it back to Lake Diversion to minimize the water lost from the reservoir as a result of hatchery operations. </t>
  </si>
  <si>
    <t>East Texas Fish Hatchery - Chemical Storage Unit                                                900 County Road 218, Brookeland, TX 75931 (Jasper County)</t>
  </si>
  <si>
    <t>Construct concrete slab and install modular storage unit</t>
  </si>
  <si>
    <t>Possum Kingdom Fish Hatchery - Hatchery Pond Renovation and Expansion    401 Red Bluff Rd, Graford, TX 76449 (Palo Pinto County)</t>
  </si>
  <si>
    <t xml:space="preserve">Construction of modern harvest kettles. Improvements will provide staff with greater efficiencies in harvesting fish and assist in reducing stress on fish during harvest. </t>
  </si>
  <si>
    <t>Possum Kingdom Fish Hatchery - Ozone Chiller Replacement               401 Red Bluff Rd, Graford, TX 76449 (Palo Pinto County)</t>
  </si>
  <si>
    <t>Replace chiller</t>
  </si>
  <si>
    <t>117303</t>
  </si>
  <si>
    <t xml:space="preserve">Statewide - Inland Fisheries - Upgrade SCADA System </t>
  </si>
  <si>
    <t>Upgrades to hatchery Supervisory Control and Data Acquisition (SCADA) systems for three (3) sites including A.E. Wood Fish Hatchery, Possum Kingdom Fish Hatchery and East Texas Fish Hatchery.</t>
  </si>
  <si>
    <t>116446</t>
  </si>
  <si>
    <t>Texas Freshwater Fisheries Center - Construct Effluent Re-Use System            5550 FM2495, Athens, TX 75752 (Henderson County)</t>
  </si>
  <si>
    <t xml:space="preserve">Construct water infrastructure improvements. </t>
  </si>
  <si>
    <t>128235</t>
  </si>
  <si>
    <t>Texas Freshwater Fisheries Center - Replace Ozone Tower                          5550 FM2495, Athens, TX 75752 (Henderson County)</t>
  </si>
  <si>
    <t xml:space="preserve">Replace portions of the ozone injection system including the ozone contact columns and affected distribution piping and valving </t>
  </si>
  <si>
    <t>116769</t>
  </si>
  <si>
    <t>Bastrop SP - Dam Replacement and Road Repairs                                                                                                                                            100 Park Road 1 A Bastrop, TX 78602 (Bastrop County)</t>
  </si>
  <si>
    <t>Replace the breached dam and repair roads due to the 2015 memorial day flooding.</t>
  </si>
  <si>
    <t xml:space="preserve">General Revenue - Weather Related (State Parks) </t>
  </si>
  <si>
    <t>128269</t>
  </si>
  <si>
    <t>Cedar Hill SP - Facility Repairs - Flood Recovery                                                                                                                                                                                                                                                                                                                                                                                                                                                                 1570 FM 1382 Cedar Hill, TX 75104 (Dallas County)</t>
  </si>
  <si>
    <t xml:space="preserve">Repair the Day Use Swim Beach, replacement of multiple restrooms, a pavilion and overall shoreline reinforcement which were damaged by the multiple flooding events in 2015 and 2016. </t>
  </si>
  <si>
    <t>128301</t>
  </si>
  <si>
    <t>Lake Somerville SP - Birch Creek Unit - Facility Repairs - Flood Recovery                                                                                                                                                                                                                                                                                                                                                                                                                                               14222 Park Road 57 Somerville, TX 77879-9713 (Burleson County)</t>
  </si>
  <si>
    <t xml:space="preserve">Repair facilities in the day use area, the Cedar Elm camping area, the Old Hickory and Bucktail bridge(s) which were damaged by multiple flooding events in 2015 and 2016. </t>
  </si>
  <si>
    <t>128322</t>
  </si>
  <si>
    <t>Lake Somerville SP - Nails Creek Unit - Facility Repairs - Flood Recovery                                                                                                                                                                                                                                                                                                                                                                                                                        6280 FM 180 Ledbetter, TX 78946-9512 (Lee County)</t>
  </si>
  <si>
    <t xml:space="preserve">Repair facilities in the day use area, the Cedar Creek camping area, and the Boat Ramp camping area which were damaged by the multiple flooding events in 2015 and 2016. </t>
  </si>
  <si>
    <t>128323</t>
  </si>
  <si>
    <t>Lake Somerville SP - Trailway - Bridge Repairs- Flood Recovery                                                                                                                                                                                                                                                                                                                                                                                                                    14222 Park Road 57 Somerville, TX 77879-9713 (Burleson County)</t>
  </si>
  <si>
    <t>Repair multiple bridges, culverts, and access ways along the Somerville Trailway that were damaged by multiple flooding events in 2015 and 2016.</t>
  </si>
  <si>
    <t>118477</t>
  </si>
  <si>
    <t>Lake Whitney SP - Erosion Repairs - Flood Recovery                                                                                                                                                                                                                                                                                                                                                                                                                                                      433 FM 1244 Whitney, TX 76692 (Hill County)</t>
  </si>
  <si>
    <t xml:space="preserve">Repair erosion damage, a boat ramp, and address soil stabilization that resulted from the multiple 2016 flood events.  </t>
  </si>
  <si>
    <t>118476</t>
  </si>
  <si>
    <t>Lake Whitney SP - Facilities Repairs - Flood Recovery                                                                                                                                                                                                                                                                                                                                                                                                                                          433 FM 1244 Whitney, TX 76692 (Hill County)</t>
  </si>
  <si>
    <t xml:space="preserve">Repair multiple facilities throughout the park damaged during multiple 2016 flood events.  Impacted areas include the Towash shelter loop, day use area, the group camp &amp; dinning hall, restroom #3, restroom #4, and parkwide shade shelter replacements. </t>
  </si>
  <si>
    <t>Mother Neff SP - Restroom and CCC Rock Tabernacle Repairs and Stabilization  1680 TX 236 HWY Moody, TX 76557 (Coryell County)</t>
  </si>
  <si>
    <t xml:space="preserve">Replace day use restroom with a new CXT and stabilization of 4000 sq. ft. CCC built tabernacle. Work includes structural, wood, and masonry repairs, reroofing, and site construction. </t>
  </si>
  <si>
    <t>128302</t>
  </si>
  <si>
    <t>Ray Roberts Lake SP - Complex Wide- Site Repairs - Flood Recovery                                                                                                                                                                                                                                                                                                                                                                                                                       100 PW 4137 Pilot Point, TX 76258-8944 (Denton County)</t>
  </si>
  <si>
    <t xml:space="preserve">Repair concrete walks, shoreline stabilization, playground areas, and the green belt trail which was damaged during the multiple flooding events in 2015 and 2016. </t>
  </si>
  <si>
    <t xml:space="preserve">Statewide - Unspecified Fund9 Division Flood Recovery </t>
  </si>
  <si>
    <t xml:space="preserve">Funding reserved to address the multiple flooding events in 2015 and 2015. Also, the 2017 Harvey damages. A comprehensive damage assessment has not yet been completed due to the magnitude of how widespread the impact areas are, high-water levels, and site inaccessibility. </t>
  </si>
  <si>
    <t xml:space="preserve">General Revenue - Weather Related (Fund9) </t>
  </si>
  <si>
    <t xml:space="preserve">Statewide - Unspecified State Park Flood Recovery </t>
  </si>
  <si>
    <t xml:space="preserve">Hazardous tree removal from the multiple flooding events in 2015 and 2016. </t>
  </si>
  <si>
    <t>Statewide - Unspecified State Park Harvey Recovery</t>
  </si>
  <si>
    <t xml:space="preserve">Funding reserved to address state park 2017 Harvey damages. A comprehensive damage assessment has not yet been completed due to the magnitude of how widespread the impact areas are, high-water levels, and site inaccessibility. </t>
  </si>
  <si>
    <t>128406</t>
  </si>
  <si>
    <t>Stephen F Austin SHS - Facility Repairs - Flood Recovery                                                                                                                                                                                                                                                                                                                                                                                                                                                                                 3 miles E of Sealy on IH 10 San Felipe, TX 77473-0125 (Austin County)</t>
  </si>
  <si>
    <t xml:space="preserve">Repair mini cabin(s), screen shelter(s), group dining hall(s), staff residences, the Bullinger Creek bunkhouse, the Nature Center, and multiple restrooms that were damaged during the 2016 flood. </t>
  </si>
  <si>
    <t>Texas Military Department - Agency 401</t>
  </si>
  <si>
    <t xml:space="preserve">Current Estimated Project Budget
</t>
  </si>
  <si>
    <t>Camp Mabry Admin Offices
2200 W 35th St Bldg 1
Austin, 78730</t>
  </si>
  <si>
    <t>The project will repair 22,702 sf of Readiness Center space to include compliance with ADA, ATFP, and current building code. General facility repairs to include: interior surfaces, mechanical and electrical systems, restrooms, and kitchen.</t>
  </si>
  <si>
    <t>General Revenue 50%, Federal Funds 50%</t>
  </si>
  <si>
    <t>3 QTR FY19</t>
  </si>
  <si>
    <t>yes</t>
  </si>
  <si>
    <t>Weslaco Readiness Center
1100 Vo-Tech Drive
Weslaco 78596</t>
  </si>
  <si>
    <t xml:space="preserve">The project will repair an existing 76,069 sf Readiness Center to include compliance with ADA, ATFP, and current building code. General facility repairs to include: interior surfaces, mechanical and electrical systems, restrooms, and kitchen.  </t>
  </si>
  <si>
    <t>4 QTR FY19</t>
  </si>
  <si>
    <t>Terrell Readiness Center
Lions Club Parkway 
Hwy 80 West
Terrell 75160</t>
  </si>
  <si>
    <t xml:space="preserve">The project will repair an existing 22,138 sf Readiness Center to include compliance with ADA, ATFP, and current building code. General facility repairs to include: interior surfaces, mechanical and electrical systems, restrooms, and kitchen.  </t>
  </si>
  <si>
    <t>3 QTR FY20</t>
  </si>
  <si>
    <t>Fort Worth Shoreview Readiness Center
8111 Shoreview Dr
Fort Worth 76108</t>
  </si>
  <si>
    <t xml:space="preserve">The project will repair 59,027 sf of Readiness Center space to include compliance with ADA, ATFP, and current building code. General facility repairs to include: interior surfaces, mechanical and electrical systems, restrooms, and kitchen.  </t>
  </si>
  <si>
    <t>4 QTR FY20</t>
  </si>
  <si>
    <t>Fort Worth Cobb Park Readiness Center
2101 Cobb Park Dr
Fort Worth 76105</t>
  </si>
  <si>
    <t xml:space="preserve">The project will repair an existing 34,549 sf Readiness Center to include compliance with ADA, ATFP, and current building code. General facility repairs to include: interior surfaces, mechanical and electrical systems, restrooms, and kitchen.  </t>
  </si>
  <si>
    <t>Supplemental Information</t>
  </si>
  <si>
    <t>1, 6</t>
  </si>
  <si>
    <t>Texas Historical Commission Rider 26 requires THC to not spend less than $1,425,000 on Deferred Maintenance projects at the Mission Dolores State Historic Site. The remaining $575,000 is intended for staffing at the site for FYs 2018-2019.  RFP is currently in development. THC Rider 2 splits the capital funding evenly $712,500 in each year of the biennium.</t>
  </si>
  <si>
    <t>This is a continuation of the new Construction project for which appropriations were made by the 83rd and 84th Legislatures. This is funded with $750,000 of Economic Stabilization Funds (Fund 0599) and $1,250,000 of GR - Sporting Goods Sales Tax (Fund 0001). THC Rider 26 requires not less than $2,000,000 be spent on the San Felipe de Austin State Historic Site. THC Rider 2 splits the capital funding evenly $1,000,000 in each year of the biennium.</t>
  </si>
  <si>
    <t>THC Rider 26 requires not less than $2,000,000 be spent on the National Museum of the Pacific War. RFP is currently in development. THC Rider 2 splits the capital funding evenly $1,000,000 in each year of the biennium.</t>
  </si>
  <si>
    <t>4, 7</t>
  </si>
  <si>
    <t>THC Rider 26 requires not less than $350,000 be spent on the deferred maintenance projects at State Historic Sites. THC Rider 2 splits the capital funding evenly $175,000 in each year of the biennium. There are multiple sites with roof replacement needs.</t>
  </si>
  <si>
    <t>5, 8</t>
  </si>
  <si>
    <t>THC Rider 26 requires not less than $350,000 be spent on the deferred maintenance projects at State Historic Sites. THC Rider 2 splits the capital funding evenly $175,000 in each year of the biennium. There are multiple sites with interior renovation needs.</t>
  </si>
  <si>
    <t>Total Estimated Project Budget</t>
  </si>
  <si>
    <t>Federal Share</t>
  </si>
  <si>
    <r>
      <t xml:space="preserve">Federal Share Encumbered / </t>
    </r>
    <r>
      <rPr>
        <b/>
        <i/>
        <sz val="12"/>
        <color theme="1"/>
        <rFont val="Arial"/>
        <family val="2"/>
      </rPr>
      <t>Estimated</t>
    </r>
  </si>
  <si>
    <t>Federal Share Expended</t>
  </si>
  <si>
    <t>Remaining Federal  Share</t>
  </si>
  <si>
    <t>Comments</t>
  </si>
  <si>
    <t>Project in Design</t>
  </si>
  <si>
    <t>TxDOT SPACE NEEDS REPORT</t>
  </si>
  <si>
    <t>Pursuant to Article IX, Section 18.10 General Appropriations Act, 84th Legislature, state agencies, or the facilities Commission on behalf of state agencies, shall notify  the committee of any need for new space, exceeding 50,000 square feet, expected in the next ten years, no later than 30 days after a need for new space is confirmed.</t>
  </si>
  <si>
    <t>5002 Construction of Buildings and Facilities</t>
  </si>
  <si>
    <t>Anticipated Space Needed</t>
  </si>
  <si>
    <t>AY2018</t>
  </si>
  <si>
    <t>AY2020</t>
  </si>
  <si>
    <t>AY2022</t>
  </si>
  <si>
    <t xml:space="preserve">$ Reported on AY 18/19 </t>
  </si>
  <si>
    <t>Austin Headquarters Consolidation</t>
  </si>
  <si>
    <t>500,000 sq/ft</t>
  </si>
  <si>
    <t>New Paris District Headquarters Campus</t>
  </si>
  <si>
    <t>50,000 sq/ft</t>
  </si>
  <si>
    <t>El Paso District Headquarters Campus</t>
  </si>
  <si>
    <t>Department of State Health Services - 537</t>
  </si>
  <si>
    <t>Charles Rotan</t>
  </si>
  <si>
    <t>53700</t>
  </si>
  <si>
    <t>18-401-TCD</t>
  </si>
  <si>
    <t>Economic Stabilization Fund- ESF (other)</t>
  </si>
  <si>
    <t>Perchloric Fume Hood Replacement</t>
  </si>
  <si>
    <t>To replace a specialty chemical fume hood system in the DSHS Laboratory that is used with acids.</t>
  </si>
  <si>
    <t>General Revenue</t>
  </si>
  <si>
    <t>Texas Facilities Commission Contract # 12-047-6032.  All funding obligated to TFC before the end of the FY 2016-2017 biennium.</t>
  </si>
  <si>
    <t>To renovate support buildings at Texas Center for Infectious Disease</t>
  </si>
  <si>
    <t>Spring 2019</t>
  </si>
  <si>
    <t xml:space="preserve">Health and Human Services manages and implements the TCID capital projects. Contract execution expected Summer 2018. </t>
  </si>
  <si>
    <t>2668</t>
  </si>
  <si>
    <t>Texas Department of Transportation #601</t>
  </si>
  <si>
    <t>AY18/19 PROJECTS PLANNED</t>
  </si>
  <si>
    <t>Version:  Final</t>
  </si>
  <si>
    <t>Priority Audit Trail</t>
  </si>
  <si>
    <t>Diana Miller</t>
  </si>
  <si>
    <t xml:space="preserve">Original Estimated 
Project Budget </t>
  </si>
  <si>
    <t xml:space="preserve">Current Estimated Project Budget
(for Q1 AY18) </t>
  </si>
  <si>
    <t>% Construction
Completion</t>
  </si>
  <si>
    <t>Comment</t>
  </si>
  <si>
    <t>FY18 Q1 JOC Priority</t>
  </si>
  <si>
    <t>FY18 Q2 JOC Priority</t>
  </si>
  <si>
    <t>FY18 Q3 JOC Priority</t>
  </si>
  <si>
    <t>FY18 Q4 JOC
Priority</t>
  </si>
  <si>
    <t>FY19 Q5 JOC Priority</t>
  </si>
  <si>
    <t>FY19 Q6 JOC Priority</t>
  </si>
  <si>
    <t>FY19 Q7 JOC Priority</t>
  </si>
  <si>
    <t>FY19 Q8 JOC Priority</t>
  </si>
  <si>
    <t>E1</t>
  </si>
  <si>
    <t>13470418179</t>
  </si>
  <si>
    <t>Building Renovation-Victoria</t>
  </si>
  <si>
    <t>Capital Repairs</t>
  </si>
  <si>
    <t>Highway Trans. Fund 6</t>
  </si>
  <si>
    <t>E2</t>
  </si>
  <si>
    <t>19470418181</t>
  </si>
  <si>
    <t>Building Renovation-Atlanta DHQ</t>
  </si>
  <si>
    <t>E3</t>
  </si>
  <si>
    <t>25470418060</t>
  </si>
  <si>
    <t>Building Renovation-Dickens</t>
  </si>
  <si>
    <t>E4</t>
  </si>
  <si>
    <t>24470418084</t>
  </si>
  <si>
    <t>CCURE Security Upgrades (including perimeter fencing)-DHQ</t>
  </si>
  <si>
    <t>Safety/Security</t>
  </si>
  <si>
    <t>E5</t>
  </si>
  <si>
    <t>17470418059</t>
  </si>
  <si>
    <t>E6</t>
  </si>
  <si>
    <t>14470418182</t>
  </si>
  <si>
    <t>Roof Replacement-South Travis MNT</t>
  </si>
  <si>
    <t>Roofing</t>
  </si>
  <si>
    <t>18470418061</t>
  </si>
  <si>
    <t>CCURE Security Upgrades (including perimeter fencing)-Rockwall</t>
  </si>
  <si>
    <t>18470418062</t>
  </si>
  <si>
    <t>CCURE Security Upgrades (including perimeter fencing)-Waxahachie</t>
  </si>
  <si>
    <t>22470418109</t>
  </si>
  <si>
    <t>Roof Replacement-DHQ</t>
  </si>
  <si>
    <t>22470418110</t>
  </si>
  <si>
    <t>22470418111</t>
  </si>
  <si>
    <t>18470418063</t>
  </si>
  <si>
    <t>CCURE Security Upgrades (including perimeter fencing)-Corsciana</t>
  </si>
  <si>
    <t>18470418064</t>
  </si>
  <si>
    <t>CCURE Security Upgrades (including perimeter fencing)-Dallas (North)</t>
  </si>
  <si>
    <t>18470418065</t>
  </si>
  <si>
    <t>CCURE Security Upgrades (including perimeter fencing)-Dallas (Southwest)</t>
  </si>
  <si>
    <t>18470418066</t>
  </si>
  <si>
    <t>CCURE Security Upgrades (including perimeter fencing)-Denton</t>
  </si>
  <si>
    <t>18470418067</t>
  </si>
  <si>
    <t>CCURE Security Upgrades (including perimeter fencing)-McKinney</t>
  </si>
  <si>
    <t>18470418068</t>
  </si>
  <si>
    <t>CCURE Security Upgrades (including perimeter fencing)-Hutchins</t>
  </si>
  <si>
    <t>02470418085</t>
  </si>
  <si>
    <t>CCURE Security Upgrades (including perimeter fencing)-Decatur</t>
  </si>
  <si>
    <t>02470418086</t>
  </si>
  <si>
    <t>CCURE Security Upgrades (including perimeter fencing)-Uless</t>
  </si>
  <si>
    <t>02470418087</t>
  </si>
  <si>
    <t>CCURE Security Upgrades (including perimeter fencing)-Keene</t>
  </si>
  <si>
    <t>02470418088</t>
  </si>
  <si>
    <t>CCURE Security Upgrades (including perimeter fencing)-Stephenville</t>
  </si>
  <si>
    <t>02470418089</t>
  </si>
  <si>
    <t>CCURE Security Upgrades (including perimeter fencing)-Weatherford</t>
  </si>
  <si>
    <t>22470418112</t>
  </si>
  <si>
    <t>Construct Concrete Flume with Detention Pond-DHQ</t>
  </si>
  <si>
    <t>Site Work</t>
  </si>
  <si>
    <t>12470418098</t>
  </si>
  <si>
    <t>CCURE Security Upgrades (including perimeter fencing)-Conroe</t>
  </si>
  <si>
    <t>12470418099</t>
  </si>
  <si>
    <t>CCURE Security Upgrades (including perimeter fencing)-Houston (Northeast)</t>
  </si>
  <si>
    <t>12470418100</t>
  </si>
  <si>
    <t>CCURE Security Upgrades (including perimeter fencing)-Houston (Northwest)</t>
  </si>
  <si>
    <t>12470418101</t>
  </si>
  <si>
    <t>CCURE Security Upgrades (including perimeter fencing)-Houston (South)</t>
  </si>
  <si>
    <t>12470418102</t>
  </si>
  <si>
    <t>CCURE Security Upgrades (including perimeter fencing)-Humble</t>
  </si>
  <si>
    <t>12470418103</t>
  </si>
  <si>
    <t>CCURE Security Upgrades (including perimeter fencing)-Lamarque</t>
  </si>
  <si>
    <t>12470418104</t>
  </si>
  <si>
    <t>CCURE Security Upgrades (including perimeter fencing)-Rosenberg</t>
  </si>
  <si>
    <t>02470418090</t>
  </si>
  <si>
    <t>CCURE Security Upgrades (including perimeter fencing)-Gordon</t>
  </si>
  <si>
    <t>02470418091</t>
  </si>
  <si>
    <t>CCURE Security Upgrades (including perimeter fencing)-Jacksboro</t>
  </si>
  <si>
    <t>02470418092</t>
  </si>
  <si>
    <t>CCURE Security Upgrades (including perimeter fencing)-Mineral Wells</t>
  </si>
  <si>
    <t>02470418093</t>
  </si>
  <si>
    <t>CCURE Security Upgrades (including perimeter fencing)-Saginaw</t>
  </si>
  <si>
    <t>02470418094</t>
  </si>
  <si>
    <t>CCURE Security Upgrades (including perimeter fencing)-Special Crews (Southeast)</t>
  </si>
  <si>
    <t>22470418113</t>
  </si>
  <si>
    <t>Parking Lot Expansion (Northeast)-DHQ</t>
  </si>
  <si>
    <t>24470418069</t>
  </si>
  <si>
    <t>CCURE Security Upgrades (including perimeter fencing)-Alpine</t>
  </si>
  <si>
    <t>24470418070</t>
  </si>
  <si>
    <t>CCURE Security Upgrades (including perimeter fencing)-El Paso (East)</t>
  </si>
  <si>
    <t>24470418071</t>
  </si>
  <si>
    <t>CCURE Security Upgrades (including perimeter fencing)-El Paso (West)</t>
  </si>
  <si>
    <t>14470418029</t>
  </si>
  <si>
    <t>CCURE Security Upgrades (including perimeter fencing)-Austin (North)</t>
  </si>
  <si>
    <t>14470418030</t>
  </si>
  <si>
    <t>CCURE Security Upgrades (including perimeter fencing)-Austin</t>
  </si>
  <si>
    <t>14470418031</t>
  </si>
  <si>
    <t>CCURE Security Upgrades (including perimeter fencing)-Bastrop</t>
  </si>
  <si>
    <t>14470418032</t>
  </si>
  <si>
    <t>CCURE Security Upgrades (including perimeter fencing)-Burnett</t>
  </si>
  <si>
    <t>14470418033</t>
  </si>
  <si>
    <t>CCURE Security Upgrades (including perimeter fencing)-Georgetown</t>
  </si>
  <si>
    <t>17470418049</t>
  </si>
  <si>
    <t>CCURE Security Upgrades (including perimeter fencing)-Brenham</t>
  </si>
  <si>
    <t>17470418050</t>
  </si>
  <si>
    <t>CCURE Security Upgrades (including perimeter fencing)-Bryan</t>
  </si>
  <si>
    <t>17470418051</t>
  </si>
  <si>
    <t>CCURE Security Upgrades (including perimeter fencing)-Hearne</t>
  </si>
  <si>
    <t>17470418052</t>
  </si>
  <si>
    <t>CCURE Security Upgrades (including perimeter fencing)-Huntsville</t>
  </si>
  <si>
    <t>05470418117</t>
  </si>
  <si>
    <t>CCURE Security Upgrades (including perimeter fencing)-Brownfield</t>
  </si>
  <si>
    <t>05470418118</t>
  </si>
  <si>
    <t>CCURE Security Upgrades (including perimeter fencing)-Littlefield</t>
  </si>
  <si>
    <t>05470418119</t>
  </si>
  <si>
    <t>CCURE Security Upgrades (including perimeter fencing)-Plainview</t>
  </si>
  <si>
    <t>05470418120</t>
  </si>
  <si>
    <t>CCURE Security Upgrades (including perimeter fencing)-Post RDC</t>
  </si>
  <si>
    <t>22470418114</t>
  </si>
  <si>
    <t>Building Renovation-Comstock</t>
  </si>
  <si>
    <t>02470418095</t>
  </si>
  <si>
    <t>Construct Box Culvert (Drainage Improvements)-DHQ</t>
  </si>
  <si>
    <t>02470418096</t>
  </si>
  <si>
    <t>Parking Lot Resurface-DHQ</t>
  </si>
  <si>
    <t>12470418105</t>
  </si>
  <si>
    <t>Building Renovation-Houston NW</t>
  </si>
  <si>
    <t>24470418072</t>
  </si>
  <si>
    <t>CCURE Security Upgrades (including perimeter fencing)-Canutillo</t>
  </si>
  <si>
    <t>24470418073</t>
  </si>
  <si>
    <t>CCURE Security Upgrades (including perimeter fencing)-Dell City</t>
  </si>
  <si>
    <t>24470418074</t>
  </si>
  <si>
    <t>CCURE Security Upgrades (including perimeter fencing)-Fort Davis</t>
  </si>
  <si>
    <t>24470418075</t>
  </si>
  <si>
    <t>CCURE Security Upgrades (including perimeter fencing)-Fort Hancock</t>
  </si>
  <si>
    <t>24470418076</t>
  </si>
  <si>
    <t>CCURE Security Upgrades (including perimeter fencing)-Marathon</t>
  </si>
  <si>
    <t>24470418077</t>
  </si>
  <si>
    <t>CCURE Security Upgrades (including perimeter fencing)-Marfa</t>
  </si>
  <si>
    <t>24470418078</t>
  </si>
  <si>
    <t>CCURE Security Upgrades (including perimeter fencing)-Pine Springs</t>
  </si>
  <si>
    <t>24470418079</t>
  </si>
  <si>
    <t>CCURE Security Upgrades (including perimeter fencing)-Presidio</t>
  </si>
  <si>
    <t>24470418080</t>
  </si>
  <si>
    <t>CCURE Security Upgrades (including perimeter fencing)-Sierra Blanca</t>
  </si>
  <si>
    <t>24470418081</t>
  </si>
  <si>
    <t>CCURE Security Upgrades (including perimeter fencing)-Terlingua</t>
  </si>
  <si>
    <t>24470418082</t>
  </si>
  <si>
    <t>CCURE Security Upgrades (including perimeter fencing)-Van Horn</t>
  </si>
  <si>
    <t>14470418034</t>
  </si>
  <si>
    <t>CCURE Security Upgrades (including perimeter fencing)-Austin (East)</t>
  </si>
  <si>
    <t>14470418035</t>
  </si>
  <si>
    <t>CCURE Security Upgrades (including perimeter fencing)-Austin (Northwest)</t>
  </si>
  <si>
    <t>14470418036</t>
  </si>
  <si>
    <t>CCURE Security Upgrades (including perimeter fencing)-Austin (West/Southwest)</t>
  </si>
  <si>
    <t>14470418037</t>
  </si>
  <si>
    <t>CCURE Security Upgrades (including perimeter fencing)-Fredericksburg</t>
  </si>
  <si>
    <t>14470418038</t>
  </si>
  <si>
    <t>CCURE Security Upgrades (including perimeter fencing)-Johnson City</t>
  </si>
  <si>
    <t>14470418039</t>
  </si>
  <si>
    <t>CCURE Security Upgrades (including perimeter fencing)-Llano</t>
  </si>
  <si>
    <t>14470418040</t>
  </si>
  <si>
    <t>CCURE Security Upgrades (including perimeter fencing)-Lockhart</t>
  </si>
  <si>
    <t>14470418041</t>
  </si>
  <si>
    <t>CCURE Security Upgrades (including perimeter fencing)-Mason</t>
  </si>
  <si>
    <t>14470418042</t>
  </si>
  <si>
    <t>CCURE Security Upgrades (including perimeter fencing)-San Marcos</t>
  </si>
  <si>
    <t>14470418043</t>
  </si>
  <si>
    <t>CCURE Security Upgrades (including perimeter fencing)-Taylor</t>
  </si>
  <si>
    <t>17470418053</t>
  </si>
  <si>
    <t>CCURE Security Upgrades (including perimeter fencing)-Buffalo</t>
  </si>
  <si>
    <t>17470418054</t>
  </si>
  <si>
    <t>CCURE Security Upgrades (including perimeter fencing)-Caldwell</t>
  </si>
  <si>
    <t>17470418055</t>
  </si>
  <si>
    <t>CCURE Security Upgrades (including perimeter fencing)-Cameron</t>
  </si>
  <si>
    <t>17470418056</t>
  </si>
  <si>
    <t>CCURE Security Upgrades (including perimeter fencing)-Fairfield</t>
  </si>
  <si>
    <t>17470418057</t>
  </si>
  <si>
    <t>CCURE Security Upgrades (including perimeter fencing)-Madisonville</t>
  </si>
  <si>
    <t>17470418058</t>
  </si>
  <si>
    <t>CCURE Security Upgrades (including perimeter fencing)-Navasota</t>
  </si>
  <si>
    <t>05470418121</t>
  </si>
  <si>
    <t>CCURE Security Upgrades (including perimeter fencing)-Bovina</t>
  </si>
  <si>
    <t>05470418122</t>
  </si>
  <si>
    <t>CCURE Security Upgrades (including perimeter fencing)-Dimmitt</t>
  </si>
  <si>
    <t>05470418123</t>
  </si>
  <si>
    <t>CCURE Security Upgrades (including perimeter fencing)-Floydada</t>
  </si>
  <si>
    <t>05470418124</t>
  </si>
  <si>
    <t>CCURE Security Upgrades (including perimeter fencing)-Lamesa</t>
  </si>
  <si>
    <t>05470418125</t>
  </si>
  <si>
    <t>CCURE Security Upgrades (including perimeter fencing)-Levelland</t>
  </si>
  <si>
    <t>05470418126</t>
  </si>
  <si>
    <t>CCURE Security Upgrades (including perimeter fencing)-Lubbock (Northeast)</t>
  </si>
  <si>
    <t>05470418127</t>
  </si>
  <si>
    <t>CCURE Security Upgrades (including perimeter fencing)-Morton</t>
  </si>
  <si>
    <t>05470418128</t>
  </si>
  <si>
    <t>CCURE Security Upgrades (including perimeter fencing)-Muleshoe</t>
  </si>
  <si>
    <t>05470418129</t>
  </si>
  <si>
    <t>CCURE Security Upgrades (including perimeter fencing)-Plains</t>
  </si>
  <si>
    <t>05470418130</t>
  </si>
  <si>
    <t>CCURE Security Upgrades (including perimeter fencing)-Ralls</t>
  </si>
  <si>
    <t>05470418131</t>
  </si>
  <si>
    <t>CCURE Security Upgrades (including perimeter fencing)-Seminole</t>
  </si>
  <si>
    <t>05470418132</t>
  </si>
  <si>
    <t>CCURE Security Upgrades (including perimeter fencing)-Tahoka</t>
  </si>
  <si>
    <t>05470418133</t>
  </si>
  <si>
    <t>CCURE Security Upgrades (including perimeter fencing)-Tulia</t>
  </si>
  <si>
    <t>12470418106</t>
  </si>
  <si>
    <t>Building Demolition-Houston NW</t>
  </si>
  <si>
    <t>07470418153</t>
  </si>
  <si>
    <t>Installation of Above-Ground Fuel Tank-Big Lake</t>
  </si>
  <si>
    <t>15470418158</t>
  </si>
  <si>
    <t>Laboratory Building Renovation-DHQ</t>
  </si>
  <si>
    <t>12470418107</t>
  </si>
  <si>
    <t>Replacement of Generator (Campus-wide)-Houston NW</t>
  </si>
  <si>
    <t>HVAC</t>
  </si>
  <si>
    <t>21470418141</t>
  </si>
  <si>
    <t>CCURE Security Upgrades (including perimeter fencing)-Hebbronville</t>
  </si>
  <si>
    <t>21470418142</t>
  </si>
  <si>
    <t>CCURE Security Upgrades (including perimeter fencing)-Pharr</t>
  </si>
  <si>
    <t>21470418143</t>
  </si>
  <si>
    <t>CCURE Security Upgrades (including perimeter fencing)-Rio Grande City</t>
  </si>
  <si>
    <t>21470418144</t>
  </si>
  <si>
    <t>CCURE Security Upgrades (including perimeter fencing)-San Benito</t>
  </si>
  <si>
    <t>07470418154</t>
  </si>
  <si>
    <t>Installation of Above-Ground Fuel Tank-San Angelo</t>
  </si>
  <si>
    <t>04470418002</t>
  </si>
  <si>
    <t>CCURE Security Upgrades (including perimeter fencing)-Amarillo (East)</t>
  </si>
  <si>
    <t>04470418003</t>
  </si>
  <si>
    <t>CCURE Security Upgrades (including perimeter fencing)-Canyon</t>
  </si>
  <si>
    <t>04470418004</t>
  </si>
  <si>
    <t>CCURE Security Upgrades (including perimeter fencing)-Dumas</t>
  </si>
  <si>
    <t>04470418005</t>
  </si>
  <si>
    <t>CCURE Security Upgrades (including perimeter fencing)-Pampa</t>
  </si>
  <si>
    <t>09470418168</t>
  </si>
  <si>
    <t>Well Improvements and Waterline Replacement-Marlin</t>
  </si>
  <si>
    <t>13470418177</t>
  </si>
  <si>
    <t>Building Renovation-DHQ</t>
  </si>
  <si>
    <t>15470418159</t>
  </si>
  <si>
    <t>Building Renovation-Transguide</t>
  </si>
  <si>
    <t>24470418083</t>
  </si>
  <si>
    <t>21470418145</t>
  </si>
  <si>
    <t>CCURE Security Upgrades (including perimeter fencing)-Brownsville</t>
  </si>
  <si>
    <t>21470418146</t>
  </si>
  <si>
    <t>CCURE Security Upgrades (including perimeter fencing)-Edcouch</t>
  </si>
  <si>
    <t>21470418147</t>
  </si>
  <si>
    <t>CCURE Security Upgrades (including perimeter fencing)-Falfurrias</t>
  </si>
  <si>
    <t>21470418148</t>
  </si>
  <si>
    <t>CCURE Security Upgrades (including perimeter fencing)-Mission</t>
  </si>
  <si>
    <t>21470418149</t>
  </si>
  <si>
    <t>CCURE Security Upgrades (including perimeter fencing)-Raymondville</t>
  </si>
  <si>
    <t>21470418150</t>
  </si>
  <si>
    <t>CCURE Security Upgrades (including perimeter fencing)-Santa Isidro</t>
  </si>
  <si>
    <t>21470418151</t>
  </si>
  <si>
    <t>CCURE Security Upgrades (including perimeter fencing)-Zapata</t>
  </si>
  <si>
    <t>07470418155</t>
  </si>
  <si>
    <t>Installation of Above-Ground Fuel Tank-DHQ</t>
  </si>
  <si>
    <t>04470418006</t>
  </si>
  <si>
    <t>CCURE Security Upgrades (including perimeter fencing)-Amarillo</t>
  </si>
  <si>
    <t>04470418007</t>
  </si>
  <si>
    <t>CCURE Security Upgrades (including perimeter fencing)-Borger</t>
  </si>
  <si>
    <t>04470418008</t>
  </si>
  <si>
    <t>CCURE Security Upgrades (including perimeter fencing)-Canadian</t>
  </si>
  <si>
    <t>04470418009</t>
  </si>
  <si>
    <t>CCURE Security Upgrades (including perimeter fencing)-Channing</t>
  </si>
  <si>
    <t>04470418010</t>
  </si>
  <si>
    <t>CCURE Security Upgrades (including perimeter fencing)-Claude</t>
  </si>
  <si>
    <t>04470418011</t>
  </si>
  <si>
    <t>CCURE Security Upgrades (including perimeter fencing)-Dalhart</t>
  </si>
  <si>
    <t>04470418012</t>
  </si>
  <si>
    <t>CCURE Security Upgrades (including perimeter fencing)-Darrouzett</t>
  </si>
  <si>
    <t>04470418013</t>
  </si>
  <si>
    <t>CCURE Security Upgrades (including perimeter fencing)-Groom</t>
  </si>
  <si>
    <t>04470418014</t>
  </si>
  <si>
    <t>CCURE Security Upgrades (including perimeter fencing)-Groover</t>
  </si>
  <si>
    <t>04470418015</t>
  </si>
  <si>
    <t>CCURE Security Upgrades (including perimeter fencing)-Hereford</t>
  </si>
  <si>
    <t>04470418016</t>
  </si>
  <si>
    <t>CCURE Security Upgrades (including perimeter fencing)-Panhandle</t>
  </si>
  <si>
    <t>04470418017</t>
  </si>
  <si>
    <t>CCURE Security Upgrades (including perimeter fencing)-Perrington</t>
  </si>
  <si>
    <t>04470418018</t>
  </si>
  <si>
    <t>CCURE Security Upgrades (including perimeter fencing)-Stratford</t>
  </si>
  <si>
    <t>04470418019</t>
  </si>
  <si>
    <t>CCURE Security Upgrades (including perimeter fencing)-Vega</t>
  </si>
  <si>
    <t>11470418135</t>
  </si>
  <si>
    <t>CCURE Security Upgrades (including perimeter fencing)-Center</t>
  </si>
  <si>
    <t>11470418136</t>
  </si>
  <si>
    <t>CCURE Security Upgrades (including perimeter fencing)-Crockett</t>
  </si>
  <si>
    <t>11470418137</t>
  </si>
  <si>
    <t>CCURE Security Upgrades (including perimeter fencing)-Groveton</t>
  </si>
  <si>
    <t>11470418138</t>
  </si>
  <si>
    <t>CCURE Security Upgrades (including perimeter fencing)-Hemphill</t>
  </si>
  <si>
    <t>11470418139</t>
  </si>
  <si>
    <t>CCURE Security Upgrades (including perimeter fencing)-Lufkin</t>
  </si>
  <si>
    <t>11470418140</t>
  </si>
  <si>
    <t>CCURE Security Upgrades (including perimeter fencing)-Sheperd</t>
  </si>
  <si>
    <t>19470418020</t>
  </si>
  <si>
    <t>CCURE Security Upgrades (including perimeter fencing)-Gilmer</t>
  </si>
  <si>
    <t>19470418021</t>
  </si>
  <si>
    <t>CCURE Security Upgrades (including perimeter fencing)-Marshall</t>
  </si>
  <si>
    <t>19470418022</t>
  </si>
  <si>
    <t>CCURE Security Upgrades (including perimeter fencing)-Mount Pleasant</t>
  </si>
  <si>
    <t>19470418023</t>
  </si>
  <si>
    <t>CCURE Security Upgrades (including perimeter fencing)-Texarkana</t>
  </si>
  <si>
    <t>22470418115</t>
  </si>
  <si>
    <t>Building Renovation-La Pryor</t>
  </si>
  <si>
    <t>13470418178</t>
  </si>
  <si>
    <t>05470418134</t>
  </si>
  <si>
    <t>Building Renovation-Plains</t>
  </si>
  <si>
    <t>12470418108</t>
  </si>
  <si>
    <t>Installation of Above-Ground Fuel Tank-Houston NW</t>
  </si>
  <si>
    <t>10470418167</t>
  </si>
  <si>
    <t>Building Demolitions-DHQ</t>
  </si>
  <si>
    <t>09470418169</t>
  </si>
  <si>
    <t>Relocate Portable Building-Special Crews</t>
  </si>
  <si>
    <t>07470418156</t>
  </si>
  <si>
    <t>Installation of Above-Ground Fuel Tank-Junction</t>
  </si>
  <si>
    <t>13470418180</t>
  </si>
  <si>
    <t>Generator Replacement-DHQ</t>
  </si>
  <si>
    <t>09470418170</t>
  </si>
  <si>
    <t>Exterior Lighting (Lot)-Meridian</t>
  </si>
  <si>
    <t>09470418171</t>
  </si>
  <si>
    <t>Exterior Lighting (Lot)-Hamilton</t>
  </si>
  <si>
    <t>09470418172</t>
  </si>
  <si>
    <t>Exterior Lighting (Lot)-Mexia</t>
  </si>
  <si>
    <t>20470418045</t>
  </si>
  <si>
    <t>Exterior Lighting (Lot)-Anahuac</t>
  </si>
  <si>
    <t>20470418046</t>
  </si>
  <si>
    <t>Exterior Lighting (Lot)-Kountze</t>
  </si>
  <si>
    <t>20470418047</t>
  </si>
  <si>
    <t>Exterior Lighting (Lot)-Newton</t>
  </si>
  <si>
    <t>20470418048</t>
  </si>
  <si>
    <t>Exterior Lighting (Lot)-Woodville</t>
  </si>
  <si>
    <t>03470418173</t>
  </si>
  <si>
    <t>CCURE Security Upgrades (including perimeter fencing)-Gainsville</t>
  </si>
  <si>
    <t>03470418174</t>
  </si>
  <si>
    <t>CCURE Security Upgrades (including perimeter fencing)-Graham</t>
  </si>
  <si>
    <t>03470418175</t>
  </si>
  <si>
    <t>CCURE Security Upgrades (including perimeter fencing)-Vernon</t>
  </si>
  <si>
    <t>03470418176</t>
  </si>
  <si>
    <t>CCURE Security Upgrades (including perimeter fencing)-Wichita Falls</t>
  </si>
  <si>
    <t>19470418024</t>
  </si>
  <si>
    <t>CCURE Security Upgrades (including perimeter fencing)-Carthage</t>
  </si>
  <si>
    <t>19470418025</t>
  </si>
  <si>
    <t>CCURE Security Upgrades (including perimeter fencing)-Daingerfield</t>
  </si>
  <si>
    <t>19470418026</t>
  </si>
  <si>
    <t>CCURE Security Upgrades (including perimeter fencing)-Jefferson</t>
  </si>
  <si>
    <t>19470418027</t>
  </si>
  <si>
    <t>CCURE Security Upgrades (including perimeter fencing)-Linden</t>
  </si>
  <si>
    <t>19470418028</t>
  </si>
  <si>
    <t>CCURE Security Upgrades (including perimeter fencing)-New Boston</t>
  </si>
  <si>
    <t>02470418097</t>
  </si>
  <si>
    <t>14470418044</t>
  </si>
  <si>
    <t>Drainage Improvements-San Marcos</t>
  </si>
  <si>
    <t>21470418152</t>
  </si>
  <si>
    <t>22470418116</t>
  </si>
  <si>
    <t>Building Renovation-Brackettville</t>
  </si>
  <si>
    <t>15470418160</t>
  </si>
  <si>
    <t>Exterior Lighting (Lot)-Bandera</t>
  </si>
  <si>
    <t>15470418161</t>
  </si>
  <si>
    <t>Exterior Lighting (Lot)-Boerne</t>
  </si>
  <si>
    <t>15470418162</t>
  </si>
  <si>
    <t>Exterior Lighting (Lot)-Divine</t>
  </si>
  <si>
    <t>15470418163</t>
  </si>
  <si>
    <t>Exterior Lighting (Lot)-Floresville</t>
  </si>
  <si>
    <t>15470418164</t>
  </si>
  <si>
    <t>Exterior Lighting (Lot)-Pearsall</t>
  </si>
  <si>
    <t>15470418165</t>
  </si>
  <si>
    <t>Exterior Lighting (Lot)-Tilden</t>
  </si>
  <si>
    <t>15470418166</t>
  </si>
  <si>
    <t>Exterior Lighting (Lot)-Uvalde</t>
  </si>
  <si>
    <t>07470418157</t>
  </si>
  <si>
    <t>Installation of Above-Ground Fuel Tank-Menard</t>
  </si>
  <si>
    <t>C1</t>
  </si>
  <si>
    <t>Statewide Projects-</t>
  </si>
  <si>
    <t xml:space="preserve">PROJECTS LISTED ABOVE CURRENTLY FUNDED $50M </t>
  </si>
  <si>
    <t>AY18/19 RADIO TOWER PROJECTS PLANNED</t>
  </si>
  <si>
    <t>25470418612</t>
  </si>
  <si>
    <t>Radio Tower Replacement of 175' - Childress</t>
  </si>
  <si>
    <t>New Construction</t>
  </si>
  <si>
    <t>Radio Tower Replacement of 175' -Brownwood</t>
  </si>
  <si>
    <t>Radio Tower Replacement of 300' - Pharr</t>
  </si>
  <si>
    <t>Radio Tower Replacement of 400 - Beaumont</t>
  </si>
  <si>
    <t>19470418611</t>
  </si>
  <si>
    <t>Radio Tower Replacement of 175' - Atlanta</t>
  </si>
  <si>
    <t>19470418610</t>
  </si>
  <si>
    <t>Radio Tower Replacement of 300' - Bryan</t>
  </si>
  <si>
    <t>Radio Tower Replacement of 350' - Austin</t>
  </si>
  <si>
    <t>07470418608</t>
  </si>
  <si>
    <t>Radio Tower Replacement of 300' - San Angelo</t>
  </si>
  <si>
    <t>04470418615</t>
  </si>
  <si>
    <t>Radio Tower Replacement of 175' - Amarillo</t>
  </si>
  <si>
    <t>04470418609</t>
  </si>
  <si>
    <t>Radio Tower Replacement of 350'  - Amarillo</t>
  </si>
  <si>
    <t>03470418614</t>
  </si>
  <si>
    <t>Radio Tower Replacement of 175' - Wichita Falls</t>
  </si>
  <si>
    <t>03470418613</t>
  </si>
  <si>
    <t>1NC</t>
  </si>
  <si>
    <t>38470418001</t>
  </si>
  <si>
    <t>AHQ Consolidation Design</t>
  </si>
  <si>
    <t>DPS</t>
  </si>
  <si>
    <t>TMD</t>
  </si>
  <si>
    <t>TPWD</t>
  </si>
  <si>
    <t>TDCJ</t>
  </si>
  <si>
    <t>TFC</t>
  </si>
  <si>
    <t>TXDOT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</si>
</sst>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164" formatCode="&quot;$&quot;#,##0"/>
    <numFmt numFmtId="165" formatCode="_(&quot;$&quot;* #,##0_);_(&quot;$&quot;* \(#,##0\);_(&quot;$&quot;* &quot;-&quot;??_);_(@_)"/>
    <numFmt numFmtId="166" formatCode="&quot;$&quot;#,##0;[Red]&quot;$&quot;#,##0"/>
    <numFmt numFmtId="167" formatCode="_(&quot;$&quot;* #,##0.00_);_(&quot;$&quot;* \(#,##0.00\);_(&quot;$&quot;* &quot;-&quot;_);_(@_)"/>
    <numFmt numFmtId="168" formatCode="mm/dd/yy;@"/>
    <numFmt numFmtId="169" formatCode="&quot;$&quot;#,##0.00"/>
    <numFmt numFmtId="170" formatCode="###0;###0"/>
  </numFmts>
  <fonts count="39">
    <font>
      <sz val="11"/>
      <color theme="1"/>
      <name val="Calibri"/>
      <family val="2"/>
      <scheme val="minor"/>
    </font>
    <font>
      <sz val="11"/>
      <color theme="1"/>
      <name val="Calibri"/>
      <family val="2"/>
      <scheme val="minor"/>
    </font>
    <font>
      <sz val="11"/>
      <color rgb="FF9C6500"/>
      <name val="Calibri"/>
      <family val="2"/>
      <scheme val="minor"/>
    </font>
    <font>
      <sz val="11"/>
      <name val="Calibri"/>
      <family val="2"/>
      <scheme val="minor"/>
    </font>
    <font>
      <b/>
      <u/>
      <sz val="16"/>
      <color theme="1"/>
      <name val="Calibri"/>
      <family val="2"/>
      <scheme val="minor"/>
    </font>
    <font>
      <b/>
      <sz val="12"/>
      <color theme="1"/>
      <name val="Arial"/>
      <family val="2"/>
    </font>
    <font>
      <i/>
      <sz val="12"/>
      <color theme="1"/>
      <name val="Arial"/>
      <family val="2"/>
    </font>
    <font>
      <sz val="12"/>
      <color theme="1"/>
      <name val="Arial"/>
      <family val="2"/>
    </font>
    <font>
      <sz val="10"/>
      <color theme="1"/>
      <name val="Arial"/>
      <family val="2"/>
    </font>
    <font>
      <b/>
      <sz val="10"/>
      <color theme="1"/>
      <name val="Arial"/>
      <family val="2"/>
    </font>
    <font>
      <sz val="14"/>
      <color theme="1"/>
      <name val="Calibri"/>
      <family val="2"/>
      <scheme val="minor"/>
    </font>
    <font>
      <b/>
      <sz val="14"/>
      <color theme="1"/>
      <name val="Calibri"/>
      <family val="2"/>
      <scheme val="minor"/>
    </font>
    <font>
      <b/>
      <i/>
      <sz val="14"/>
      <color theme="1"/>
      <name val="Calibri"/>
      <family val="2"/>
      <scheme val="minor"/>
    </font>
    <font>
      <i/>
      <sz val="14"/>
      <color theme="1"/>
      <name val="Calibri"/>
      <family val="2"/>
      <scheme val="minor"/>
    </font>
    <font>
      <b/>
      <u/>
      <sz val="14"/>
      <color theme="1"/>
      <name val="Calibri"/>
      <family val="2"/>
      <scheme val="minor"/>
    </font>
    <font>
      <sz val="10"/>
      <name val="Arial"/>
      <family val="2"/>
    </font>
    <font>
      <u/>
      <sz val="8"/>
      <color indexed="22"/>
      <name val="Calibri"/>
      <family val="2"/>
    </font>
    <font>
      <b/>
      <sz val="10"/>
      <name val="Arial"/>
      <family val="2"/>
    </font>
    <font>
      <sz val="10"/>
      <color indexed="8"/>
      <name val="Arial"/>
      <family val="2"/>
    </font>
    <font>
      <b/>
      <sz val="10"/>
      <color indexed="8"/>
      <name val="Arial"/>
      <family val="2"/>
    </font>
    <font>
      <sz val="12"/>
      <color rgb="FFFF0000"/>
      <name val="Arial"/>
      <family val="2"/>
    </font>
    <font>
      <i/>
      <sz val="12"/>
      <color rgb="FFFF0000"/>
      <name val="Arial"/>
      <family val="2"/>
    </font>
    <font>
      <sz val="12"/>
      <color rgb="FF7030A0"/>
      <name val="Arial"/>
      <family val="2"/>
    </font>
    <font>
      <b/>
      <sz val="12"/>
      <name val="Arial"/>
      <family val="2"/>
    </font>
    <font>
      <sz val="12"/>
      <name val="Arial"/>
      <family val="2"/>
    </font>
    <font>
      <b/>
      <i/>
      <sz val="12"/>
      <color theme="1"/>
      <name val="Arial"/>
      <family val="2"/>
    </font>
    <font>
      <sz val="12"/>
      <name val="CG Times (W1)"/>
    </font>
    <font>
      <b/>
      <sz val="12"/>
      <color indexed="8"/>
      <name val="Arial"/>
      <family val="2"/>
    </font>
    <font>
      <sz val="12"/>
      <color indexed="8"/>
      <name val="Arial"/>
      <family val="2"/>
    </font>
    <font>
      <b/>
      <u/>
      <sz val="12"/>
      <color theme="1"/>
      <name val="Arial"/>
      <family val="2"/>
    </font>
    <font>
      <b/>
      <u/>
      <sz val="12"/>
      <name val="Calibri"/>
      <family val="2"/>
      <scheme val="minor"/>
    </font>
    <font>
      <b/>
      <sz val="14"/>
      <color theme="1"/>
      <name val="Arial"/>
      <family val="2"/>
    </font>
    <font>
      <b/>
      <sz val="16"/>
      <color theme="1"/>
      <name val="Arial"/>
      <family val="2"/>
    </font>
    <font>
      <sz val="16"/>
      <color theme="1"/>
      <name val="Arial"/>
      <family val="2"/>
    </font>
    <font>
      <b/>
      <sz val="9"/>
      <color indexed="81"/>
      <name val="Tahoma"/>
      <family val="2"/>
    </font>
    <font>
      <sz val="9"/>
      <color indexed="81"/>
      <name val="Tahoma"/>
      <family val="2"/>
    </font>
    <font>
      <sz val="12"/>
      <color rgb="FF000000"/>
      <name val="Arial"/>
      <family val="2"/>
    </font>
    <font>
      <sz val="10"/>
      <color theme="1"/>
      <name val="Calibri"/>
      <family val="2"/>
      <scheme val="minor"/>
    </font>
    <font>
      <sz val="10"/>
      <color rgb="FF000000"/>
      <name val="Calibri"/>
      <family val="2"/>
    </font>
  </fonts>
  <fills count="9">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3" tint="0.59999389629810485"/>
        <bgColor indexed="64"/>
      </patternFill>
    </fill>
  </fills>
  <borders count="46">
    <border>
      <left/>
      <right/>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s>
  <cellStyleXfs count="1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1" fillId="0" borderId="0"/>
    <xf numFmtId="0" fontId="7" fillId="0" borderId="0"/>
    <xf numFmtId="44" fontId="16" fillId="0" borderId="0" applyFont="0" applyFill="0" applyBorder="0" applyAlignment="0" applyProtection="0"/>
    <xf numFmtId="0" fontId="1" fillId="0" borderId="0"/>
    <xf numFmtId="0" fontId="18" fillId="0" borderId="0"/>
    <xf numFmtId="0" fontId="18" fillId="0" borderId="0"/>
    <xf numFmtId="0" fontId="1" fillId="0" borderId="0"/>
    <xf numFmtId="0" fontId="26" fillId="0" borderId="0"/>
    <xf numFmtId="44" fontId="7" fillId="0" borderId="0" applyFont="0" applyFill="0" applyBorder="0" applyAlignment="0" applyProtection="0"/>
    <xf numFmtId="9" fontId="7" fillId="0" borderId="0" applyFont="0" applyFill="0" applyBorder="0" applyAlignment="0" applyProtection="0"/>
  </cellStyleXfs>
  <cellXfs count="636">
    <xf numFmtId="0" fontId="0" fillId="0" borderId="0" xfId="0"/>
    <xf numFmtId="10" fontId="1" fillId="0" borderId="1" xfId="4" applyNumberFormat="1" applyFont="1" applyBorder="1" applyAlignment="1">
      <alignment horizontal="center" wrapText="1"/>
    </xf>
    <xf numFmtId="164" fontId="1" fillId="0" borderId="0" xfId="4" applyNumberFormat="1" applyBorder="1" applyAlignment="1">
      <alignment horizontal="center" wrapText="1"/>
    </xf>
    <xf numFmtId="10" fontId="1" fillId="0" borderId="0" xfId="4" applyNumberFormat="1" applyFont="1" applyBorder="1" applyAlignment="1">
      <alignment horizontal="center" wrapText="1"/>
    </xf>
    <xf numFmtId="0" fontId="1" fillId="0" borderId="2" xfId="4" applyBorder="1"/>
    <xf numFmtId="10" fontId="1" fillId="0" borderId="1" xfId="4" applyNumberFormat="1" applyFill="1" applyBorder="1" applyAlignment="1">
      <alignment horizontal="center"/>
    </xf>
    <xf numFmtId="164" fontId="1" fillId="0" borderId="0" xfId="4" applyNumberFormat="1" applyFill="1" applyBorder="1" applyAlignment="1">
      <alignment horizontal="center" wrapText="1"/>
    </xf>
    <xf numFmtId="10" fontId="1" fillId="0" borderId="0" xfId="4" applyNumberFormat="1" applyFill="1" applyBorder="1" applyAlignment="1">
      <alignment horizontal="center" wrapText="1"/>
    </xf>
    <xf numFmtId="10" fontId="3" fillId="0" borderId="0" xfId="4" applyNumberFormat="1" applyFont="1" applyFill="1" applyBorder="1" applyAlignment="1">
      <alignment horizontal="center" wrapText="1"/>
    </xf>
    <xf numFmtId="0" fontId="0" fillId="0" borderId="2" xfId="4" applyFont="1" applyFill="1" applyBorder="1"/>
    <xf numFmtId="10" fontId="1" fillId="3" borderId="1" xfId="4" applyNumberFormat="1" applyFill="1" applyBorder="1" applyAlignment="1">
      <alignment horizontal="center"/>
    </xf>
    <xf numFmtId="164" fontId="1" fillId="3" borderId="0" xfId="4" applyNumberFormat="1" applyFill="1" applyBorder="1" applyAlignment="1">
      <alignment horizontal="center" wrapText="1"/>
    </xf>
    <xf numFmtId="10" fontId="1" fillId="3" borderId="0" xfId="4" applyNumberFormat="1" applyFill="1" applyBorder="1" applyAlignment="1">
      <alignment horizontal="center" wrapText="1"/>
    </xf>
    <xf numFmtId="10" fontId="3" fillId="3" borderId="0" xfId="4" applyNumberFormat="1" applyFont="1" applyFill="1" applyBorder="1" applyAlignment="1">
      <alignment horizontal="center" wrapText="1"/>
    </xf>
    <xf numFmtId="10" fontId="1" fillId="0" borderId="3" xfId="4" applyNumberFormat="1" applyFont="1" applyBorder="1" applyAlignment="1">
      <alignment horizontal="center" wrapText="1"/>
    </xf>
    <xf numFmtId="164" fontId="1" fillId="0" borderId="4" xfId="4" applyNumberFormat="1" applyBorder="1" applyAlignment="1">
      <alignment horizontal="center" wrapText="1"/>
    </xf>
    <xf numFmtId="10" fontId="1" fillId="0" borderId="4" xfId="4" applyNumberFormat="1" applyFont="1" applyBorder="1" applyAlignment="1">
      <alignment horizontal="center" wrapText="1"/>
    </xf>
    <xf numFmtId="164" fontId="0" fillId="0" borderId="4" xfId="4" applyNumberFormat="1" applyFont="1" applyBorder="1" applyAlignment="1">
      <alignment horizontal="center" wrapText="1"/>
    </xf>
    <xf numFmtId="0" fontId="1" fillId="0" borderId="5" xfId="4" applyBorder="1"/>
    <xf numFmtId="0" fontId="4" fillId="0" borderId="0" xfId="0" applyFont="1"/>
    <xf numFmtId="0" fontId="5" fillId="0" borderId="6" xfId="0" applyFont="1" applyBorder="1" applyAlignment="1">
      <alignment wrapText="1"/>
    </xf>
    <xf numFmtId="0" fontId="0" fillId="0" borderId="0" xfId="0" applyBorder="1" applyAlignment="1">
      <alignment horizontal="left" wrapText="1"/>
    </xf>
    <xf numFmtId="0" fontId="0" fillId="0" borderId="0" xfId="0" applyBorder="1"/>
    <xf numFmtId="14" fontId="0" fillId="0" borderId="0" xfId="0" applyNumberFormat="1" applyBorder="1" applyAlignment="1">
      <alignment horizontal="left" wrapText="1"/>
    </xf>
    <xf numFmtId="0" fontId="6" fillId="0" borderId="0" xfId="0" applyFont="1" applyBorder="1"/>
    <xf numFmtId="14" fontId="6" fillId="0" borderId="6" xfId="0" applyNumberFormat="1" applyFont="1" applyBorder="1" applyAlignment="1">
      <alignment horizontal="left"/>
    </xf>
    <xf numFmtId="0" fontId="0" fillId="0" borderId="0" xfId="0" applyBorder="1" applyAlignment="1">
      <alignment horizontal="left"/>
    </xf>
    <xf numFmtId="0" fontId="5" fillId="0" borderId="9" xfId="0" applyFont="1" applyBorder="1" applyAlignment="1">
      <alignment wrapText="1"/>
    </xf>
    <xf numFmtId="0" fontId="0" fillId="0" borderId="9" xfId="0" applyBorder="1" applyAlignment="1">
      <alignment wrapText="1"/>
    </xf>
    <xf numFmtId="0" fontId="0" fillId="0" borderId="0" xfId="0" applyAlignment="1">
      <alignment wrapText="1"/>
    </xf>
    <xf numFmtId="0" fontId="0" fillId="0" borderId="6" xfId="0" applyBorder="1" applyAlignment="1">
      <alignment horizontal="center" wrapText="1"/>
    </xf>
    <xf numFmtId="0" fontId="0" fillId="0" borderId="6" xfId="0" applyBorder="1" applyAlignment="1">
      <alignment horizontal="left" wrapText="1"/>
    </xf>
    <xf numFmtId="0" fontId="0" fillId="0" borderId="6" xfId="0" applyBorder="1" applyAlignment="1">
      <alignment horizontal="left" vertical="center" wrapText="1"/>
    </xf>
    <xf numFmtId="165" fontId="0" fillId="0" borderId="6" xfId="1" applyNumberFormat="1" applyFont="1" applyBorder="1" applyAlignment="1">
      <alignment wrapText="1"/>
    </xf>
    <xf numFmtId="14" fontId="0" fillId="0" borderId="6" xfId="0" applyNumberFormat="1" applyBorder="1" applyAlignment="1">
      <alignment wrapText="1"/>
    </xf>
    <xf numFmtId="9" fontId="0" fillId="0" borderId="6" xfId="2" applyFont="1" applyBorder="1" applyAlignment="1">
      <alignment horizontal="center" wrapText="1"/>
    </xf>
    <xf numFmtId="165" fontId="0" fillId="0" borderId="8" xfId="1" applyNumberFormat="1" applyFont="1" applyBorder="1" applyAlignment="1">
      <alignment wrapText="1"/>
    </xf>
    <xf numFmtId="0" fontId="0" fillId="0" borderId="6" xfId="0" applyBorder="1" applyAlignment="1">
      <alignment horizontal="center"/>
    </xf>
    <xf numFmtId="0" fontId="0" fillId="0" borderId="6" xfId="0" applyBorder="1" applyAlignment="1">
      <alignment vertical="top" wrapText="1"/>
    </xf>
    <xf numFmtId="42" fontId="0" fillId="0" borderId="6" xfId="1" applyNumberFormat="1" applyFont="1" applyBorder="1" applyAlignment="1">
      <alignment wrapText="1"/>
    </xf>
    <xf numFmtId="42" fontId="0" fillId="0" borderId="6" xfId="1" applyNumberFormat="1" applyFont="1" applyBorder="1"/>
    <xf numFmtId="14" fontId="0" fillId="0" borderId="6" xfId="0" applyNumberFormat="1" applyBorder="1"/>
    <xf numFmtId="42" fontId="0" fillId="0" borderId="8" xfId="1" applyNumberFormat="1" applyFont="1" applyBorder="1"/>
    <xf numFmtId="0" fontId="0" fillId="0" borderId="6" xfId="0" applyBorder="1" applyAlignment="1">
      <alignment wrapText="1"/>
    </xf>
    <xf numFmtId="42" fontId="0" fillId="0" borderId="8" xfId="1" applyNumberFormat="1" applyFont="1" applyBorder="1" applyAlignment="1">
      <alignment wrapText="1"/>
    </xf>
    <xf numFmtId="0" fontId="0" fillId="0" borderId="6" xfId="0" applyBorder="1" applyAlignment="1">
      <alignment vertical="center" wrapText="1"/>
    </xf>
    <xf numFmtId="0" fontId="0" fillId="0" borderId="6" xfId="0" applyBorder="1" applyAlignment="1">
      <alignment horizontal="center" vertical="center"/>
    </xf>
    <xf numFmtId="166" fontId="0" fillId="0" borderId="6" xfId="0" applyNumberFormat="1" applyBorder="1"/>
    <xf numFmtId="0" fontId="0" fillId="0" borderId="6" xfId="0" applyFont="1" applyBorder="1" applyAlignment="1">
      <alignment wrapText="1"/>
    </xf>
    <xf numFmtId="164" fontId="0" fillId="0" borderId="6" xfId="0" applyNumberFormat="1" applyBorder="1"/>
    <xf numFmtId="0" fontId="0" fillId="0" borderId="12" xfId="0" applyBorder="1" applyAlignment="1">
      <alignment wrapText="1"/>
    </xf>
    <xf numFmtId="0" fontId="0" fillId="0" borderId="14" xfId="0" applyFill="1" applyBorder="1" applyAlignment="1">
      <alignment wrapText="1"/>
    </xf>
    <xf numFmtId="166" fontId="0" fillId="0" borderId="6" xfId="1" applyNumberFormat="1" applyFont="1" applyBorder="1" applyAlignment="1">
      <alignment wrapText="1"/>
    </xf>
    <xf numFmtId="42" fontId="0" fillId="0" borderId="6" xfId="0" applyNumberFormat="1" applyBorder="1" applyAlignment="1">
      <alignment horizontal="right"/>
    </xf>
    <xf numFmtId="0" fontId="0" fillId="0" borderId="6" xfId="0" applyBorder="1"/>
    <xf numFmtId="166" fontId="0" fillId="0" borderId="6" xfId="1" applyNumberFormat="1" applyFont="1" applyBorder="1"/>
    <xf numFmtId="0" fontId="0" fillId="0" borderId="6" xfId="0" applyBorder="1" applyAlignment="1">
      <alignment horizontal="right"/>
    </xf>
    <xf numFmtId="0" fontId="0" fillId="0" borderId="12" xfId="0" applyFill="1" applyBorder="1" applyAlignment="1">
      <alignment wrapText="1"/>
    </xf>
    <xf numFmtId="0" fontId="0" fillId="0" borderId="10" xfId="0" applyBorder="1" applyAlignment="1">
      <alignment horizontal="center" wrapText="1"/>
    </xf>
    <xf numFmtId="166" fontId="0" fillId="0" borderId="10" xfId="0" applyNumberFormat="1" applyBorder="1"/>
    <xf numFmtId="166" fontId="0" fillId="0" borderId="10" xfId="1" applyNumberFormat="1" applyFont="1" applyBorder="1"/>
    <xf numFmtId="0" fontId="0" fillId="0" borderId="10" xfId="0" applyBorder="1"/>
    <xf numFmtId="165" fontId="0" fillId="0" borderId="10" xfId="1" applyNumberFormat="1" applyFont="1" applyBorder="1" applyAlignment="1">
      <alignment wrapText="1"/>
    </xf>
    <xf numFmtId="0" fontId="0" fillId="0" borderId="6" xfId="0" applyBorder="1" applyAlignment="1"/>
    <xf numFmtId="0" fontId="0" fillId="0" borderId="0" xfId="0" applyBorder="1" applyAlignment="1">
      <alignment horizontal="center"/>
    </xf>
    <xf numFmtId="0" fontId="0" fillId="0" borderId="0" xfId="0" applyBorder="1" applyAlignment="1"/>
    <xf numFmtId="0" fontId="5" fillId="0" borderId="15" xfId="0" applyFont="1" applyBorder="1" applyAlignment="1">
      <alignment horizontal="center"/>
    </xf>
    <xf numFmtId="165" fontId="5" fillId="0" borderId="16" xfId="0" applyNumberFormat="1" applyFont="1" applyBorder="1"/>
    <xf numFmtId="165" fontId="5" fillId="0" borderId="17" xfId="0" applyNumberFormat="1" applyFont="1" applyBorder="1"/>
    <xf numFmtId="0" fontId="0" fillId="0" borderId="18" xfId="0" applyBorder="1"/>
    <xf numFmtId="0" fontId="0" fillId="0" borderId="4" xfId="0" applyBorder="1"/>
    <xf numFmtId="165" fontId="5" fillId="0" borderId="19" xfId="1" applyNumberFormat="1" applyFont="1" applyBorder="1" applyAlignment="1">
      <alignment wrapText="1"/>
    </xf>
    <xf numFmtId="166" fontId="0" fillId="0" borderId="6" xfId="0" applyNumberFormat="1" applyBorder="1" applyAlignment="1">
      <alignment wrapText="1"/>
    </xf>
    <xf numFmtId="0" fontId="0" fillId="0" borderId="0" xfId="0" applyBorder="1" applyAlignment="1">
      <alignment wrapText="1"/>
    </xf>
    <xf numFmtId="0" fontId="6" fillId="0" borderId="0" xfId="0" applyFont="1" applyBorder="1" applyAlignment="1">
      <alignment wrapText="1"/>
    </xf>
    <xf numFmtId="14" fontId="6" fillId="0" borderId="0" xfId="0" applyNumberFormat="1" applyFont="1" applyFill="1" applyBorder="1" applyAlignment="1">
      <alignment horizontal="left" wrapText="1"/>
    </xf>
    <xf numFmtId="15" fontId="0" fillId="0" borderId="6" xfId="0" applyNumberFormat="1" applyBorder="1" applyAlignment="1">
      <alignment wrapText="1"/>
    </xf>
    <xf numFmtId="42" fontId="0" fillId="0" borderId="6" xfId="0" applyNumberFormat="1" applyBorder="1" applyAlignment="1">
      <alignment wrapText="1"/>
    </xf>
    <xf numFmtId="0" fontId="0" fillId="0" borderId="0" xfId="0" applyBorder="1" applyAlignment="1">
      <alignment horizontal="center" wrapText="1"/>
    </xf>
    <xf numFmtId="0" fontId="5" fillId="0" borderId="15" xfId="0" applyFont="1" applyBorder="1" applyAlignment="1">
      <alignment horizontal="center" wrapText="1"/>
    </xf>
    <xf numFmtId="165" fontId="5" fillId="0" borderId="16" xfId="0" applyNumberFormat="1" applyFont="1" applyBorder="1" applyAlignment="1">
      <alignment wrapText="1"/>
    </xf>
    <xf numFmtId="0" fontId="0" fillId="0" borderId="18" xfId="0" applyBorder="1" applyAlignment="1">
      <alignment wrapText="1"/>
    </xf>
    <xf numFmtId="0" fontId="0" fillId="0" borderId="4" xfId="0" applyBorder="1" applyAlignment="1">
      <alignment wrapText="1"/>
    </xf>
    <xf numFmtId="0" fontId="10" fillId="0" borderId="0" xfId="0" applyFont="1"/>
    <xf numFmtId="0" fontId="11" fillId="0" borderId="6" xfId="0" applyFont="1" applyBorder="1" applyAlignment="1">
      <alignment wrapText="1"/>
    </xf>
    <xf numFmtId="0" fontId="10" fillId="0" borderId="0" xfId="0" applyFont="1" applyBorder="1" applyAlignment="1">
      <alignment horizontal="left" wrapText="1"/>
    </xf>
    <xf numFmtId="0" fontId="10" fillId="0" borderId="0" xfId="0" applyFont="1" applyBorder="1"/>
    <xf numFmtId="14" fontId="10" fillId="0" borderId="0" xfId="0" applyNumberFormat="1" applyFont="1" applyBorder="1" applyAlignment="1">
      <alignment horizontal="left" wrapText="1"/>
    </xf>
    <xf numFmtId="0" fontId="13" fillId="0" borderId="0" xfId="0" applyFont="1" applyBorder="1"/>
    <xf numFmtId="14" fontId="13" fillId="0" borderId="6" xfId="0" applyNumberFormat="1" applyFont="1" applyBorder="1" applyAlignment="1">
      <alignment horizontal="left"/>
    </xf>
    <xf numFmtId="0" fontId="10" fillId="0" borderId="0" xfId="0" applyFont="1" applyBorder="1" applyAlignment="1">
      <alignment horizontal="left"/>
    </xf>
    <xf numFmtId="0" fontId="11" fillId="0" borderId="9" xfId="0" applyFont="1" applyBorder="1" applyAlignment="1">
      <alignment wrapText="1"/>
    </xf>
    <xf numFmtId="0" fontId="10" fillId="0" borderId="9" xfId="0" applyFont="1" applyBorder="1" applyAlignment="1">
      <alignment wrapText="1"/>
    </xf>
    <xf numFmtId="0" fontId="10" fillId="0" borderId="0" xfId="0" applyFont="1" applyAlignment="1">
      <alignment wrapText="1"/>
    </xf>
    <xf numFmtId="0" fontId="10" fillId="0" borderId="6" xfId="0" applyFont="1" applyBorder="1" applyAlignment="1">
      <alignment horizontal="center" wrapText="1"/>
    </xf>
    <xf numFmtId="0" fontId="10" fillId="0" borderId="6" xfId="0" applyFont="1" applyBorder="1" applyAlignment="1">
      <alignment horizontal="left" wrapText="1"/>
    </xf>
    <xf numFmtId="0" fontId="10" fillId="0" borderId="6" xfId="0" applyFont="1" applyFill="1" applyBorder="1" applyAlignment="1">
      <alignment horizontal="left" wrapText="1"/>
    </xf>
    <xf numFmtId="165" fontId="10" fillId="0" borderId="6" xfId="1" applyNumberFormat="1" applyFont="1" applyBorder="1" applyAlignment="1">
      <alignment wrapText="1"/>
    </xf>
    <xf numFmtId="165" fontId="10" fillId="0" borderId="6" xfId="1" applyNumberFormat="1" applyFont="1" applyFill="1" applyBorder="1" applyAlignment="1">
      <alignment wrapText="1"/>
    </xf>
    <xf numFmtId="0" fontId="10" fillId="0" borderId="6" xfId="0" applyFont="1" applyFill="1" applyBorder="1" applyAlignment="1">
      <alignment wrapText="1"/>
    </xf>
    <xf numFmtId="9" fontId="10" fillId="0" borderId="6" xfId="2" applyFont="1" applyFill="1" applyBorder="1" applyAlignment="1">
      <alignment horizontal="center" wrapText="1"/>
    </xf>
    <xf numFmtId="165" fontId="10" fillId="0" borderId="8" xfId="1" applyNumberFormat="1" applyFont="1" applyBorder="1" applyAlignment="1">
      <alignment wrapText="1"/>
    </xf>
    <xf numFmtId="0" fontId="10" fillId="0" borderId="6" xfId="0" applyFont="1" applyBorder="1" applyAlignment="1">
      <alignment horizontal="center"/>
    </xf>
    <xf numFmtId="42" fontId="10" fillId="0" borderId="6" xfId="1" applyNumberFormat="1" applyFont="1" applyBorder="1" applyAlignment="1">
      <alignment wrapText="1"/>
    </xf>
    <xf numFmtId="42" fontId="10" fillId="0" borderId="6" xfId="1" applyNumberFormat="1" applyFont="1" applyFill="1" applyBorder="1"/>
    <xf numFmtId="42" fontId="10" fillId="0" borderId="8" xfId="1" applyNumberFormat="1" applyFont="1" applyBorder="1"/>
    <xf numFmtId="42" fontId="10" fillId="0" borderId="8" xfId="1" applyNumberFormat="1" applyFont="1" applyBorder="1" applyAlignment="1">
      <alignment wrapText="1"/>
    </xf>
    <xf numFmtId="0" fontId="10" fillId="0" borderId="6" xfId="0" applyFont="1" applyBorder="1"/>
    <xf numFmtId="0" fontId="10" fillId="0" borderId="6" xfId="0" applyFont="1" applyBorder="1" applyAlignment="1">
      <alignment wrapText="1"/>
    </xf>
    <xf numFmtId="42" fontId="10" fillId="0" borderId="6" xfId="1" applyNumberFormat="1" applyFont="1" applyBorder="1"/>
    <xf numFmtId="42" fontId="10" fillId="0" borderId="6" xfId="0" applyNumberFormat="1" applyFont="1" applyBorder="1"/>
    <xf numFmtId="41" fontId="10" fillId="0" borderId="6" xfId="1" applyNumberFormat="1" applyFont="1" applyBorder="1"/>
    <xf numFmtId="0" fontId="10" fillId="0" borderId="8" xfId="0" applyFont="1" applyBorder="1"/>
    <xf numFmtId="0" fontId="14" fillId="0" borderId="6" xfId="0" applyFont="1" applyBorder="1" applyAlignment="1"/>
    <xf numFmtId="0" fontId="10" fillId="0" borderId="10" xfId="0" applyFont="1" applyBorder="1"/>
    <xf numFmtId="0" fontId="10" fillId="0" borderId="3" xfId="0" applyFont="1" applyBorder="1"/>
    <xf numFmtId="165" fontId="10" fillId="0" borderId="10" xfId="1" applyNumberFormat="1" applyFont="1" applyBorder="1" applyAlignment="1">
      <alignment wrapText="1"/>
    </xf>
    <xf numFmtId="0" fontId="10" fillId="0" borderId="0" xfId="0" applyFont="1" applyBorder="1" applyAlignment="1">
      <alignment horizontal="center"/>
    </xf>
    <xf numFmtId="0" fontId="10" fillId="0" borderId="0" xfId="0" applyFont="1" applyBorder="1" applyAlignment="1"/>
    <xf numFmtId="0" fontId="11" fillId="0" borderId="15" xfId="0" applyFont="1" applyBorder="1" applyAlignment="1">
      <alignment horizontal="center"/>
    </xf>
    <xf numFmtId="165" fontId="11" fillId="0" borderId="16" xfId="0" applyNumberFormat="1" applyFont="1" applyBorder="1"/>
    <xf numFmtId="165" fontId="11" fillId="0" borderId="17" xfId="0" applyNumberFormat="1" applyFont="1" applyBorder="1"/>
    <xf numFmtId="0" fontId="10" fillId="0" borderId="18" xfId="0" applyFont="1" applyBorder="1"/>
    <xf numFmtId="0" fontId="10" fillId="0" borderId="4" xfId="0" applyFont="1" applyBorder="1"/>
    <xf numFmtId="165" fontId="11" fillId="0" borderId="19" xfId="1" applyNumberFormat="1" applyFont="1" applyBorder="1" applyAlignment="1">
      <alignment wrapText="1"/>
    </xf>
    <xf numFmtId="42" fontId="10" fillId="0" borderId="6" xfId="1" applyNumberFormat="1" applyFont="1" applyFill="1" applyBorder="1" applyAlignment="1">
      <alignment wrapText="1"/>
    </xf>
    <xf numFmtId="17" fontId="10" fillId="0" borderId="6" xfId="0" applyNumberFormat="1" applyFont="1" applyFill="1" applyBorder="1" applyAlignment="1">
      <alignment wrapText="1"/>
    </xf>
    <xf numFmtId="14" fontId="6" fillId="0" borderId="0" xfId="0" applyNumberFormat="1" applyFont="1" applyBorder="1" applyAlignment="1">
      <alignment horizontal="left"/>
    </xf>
    <xf numFmtId="0" fontId="5" fillId="0" borderId="6" xfId="0" applyFont="1" applyBorder="1" applyAlignment="1">
      <alignment horizontal="center" vertical="center" wrapText="1"/>
    </xf>
    <xf numFmtId="42" fontId="0" fillId="0" borderId="6" xfId="1" applyNumberFormat="1" applyFont="1" applyBorder="1" applyAlignment="1">
      <alignment vertical="center" wrapText="1"/>
    </xf>
    <xf numFmtId="165" fontId="0" fillId="0" borderId="6" xfId="1" applyNumberFormat="1" applyFont="1" applyBorder="1" applyAlignment="1">
      <alignment vertical="center" wrapText="1"/>
    </xf>
    <xf numFmtId="9" fontId="0" fillId="0" borderId="6" xfId="2" applyFont="1" applyBorder="1" applyAlignment="1">
      <alignment horizontal="center" vertical="center" wrapText="1"/>
    </xf>
    <xf numFmtId="165" fontId="0" fillId="0" borderId="8" xfId="1" applyNumberFormat="1" applyFont="1" applyBorder="1" applyAlignment="1">
      <alignment vertical="center" wrapText="1"/>
    </xf>
    <xf numFmtId="0" fontId="0" fillId="0" borderId="6" xfId="0" applyBorder="1" applyAlignment="1">
      <alignment vertical="center"/>
    </xf>
    <xf numFmtId="0" fontId="0" fillId="0" borderId="6" xfId="0" applyBorder="1" applyAlignment="1">
      <alignment horizontal="center" vertical="center" wrapText="1"/>
    </xf>
    <xf numFmtId="165" fontId="0" fillId="0" borderId="10" xfId="1" applyNumberFormat="1" applyFont="1" applyBorder="1" applyAlignment="1">
      <alignment vertical="center" wrapText="1"/>
    </xf>
    <xf numFmtId="0" fontId="0" fillId="0" borderId="10" xfId="0"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5" fillId="0" borderId="4" xfId="0" applyFont="1" applyBorder="1" applyAlignment="1">
      <alignment horizontal="center" vertical="center"/>
    </xf>
    <xf numFmtId="0" fontId="0" fillId="0" borderId="15" xfId="0" applyBorder="1" applyAlignment="1">
      <alignment vertical="center"/>
    </xf>
    <xf numFmtId="165" fontId="5" fillId="0" borderId="16" xfId="0" applyNumberFormat="1" applyFont="1" applyBorder="1" applyAlignment="1">
      <alignment vertical="center"/>
    </xf>
    <xf numFmtId="165" fontId="5" fillId="0" borderId="17" xfId="0" applyNumberFormat="1" applyFont="1" applyBorder="1" applyAlignment="1">
      <alignment vertical="center"/>
    </xf>
    <xf numFmtId="0" fontId="0" fillId="0" borderId="4" xfId="0" applyBorder="1" applyAlignment="1">
      <alignment vertical="center"/>
    </xf>
    <xf numFmtId="165" fontId="5" fillId="0" borderId="19" xfId="1" applyNumberFormat="1" applyFont="1" applyBorder="1" applyAlignment="1">
      <alignment vertical="center" wrapText="1"/>
    </xf>
    <xf numFmtId="0" fontId="0" fillId="0" borderId="18" xfId="0" applyBorder="1" applyAlignment="1">
      <alignment vertical="center"/>
    </xf>
    <xf numFmtId="0" fontId="0" fillId="0" borderId="10" xfId="0" applyBorder="1" applyAlignment="1">
      <alignment vertical="center" wrapText="1"/>
    </xf>
    <xf numFmtId="165" fontId="0" fillId="0" borderId="0" xfId="0" applyNumberFormat="1"/>
    <xf numFmtId="165" fontId="0" fillId="3" borderId="6" xfId="1" applyNumberFormat="1" applyFont="1" applyFill="1" applyBorder="1" applyAlignment="1">
      <alignment vertical="center" wrapText="1"/>
    </xf>
    <xf numFmtId="42" fontId="0" fillId="0" borderId="6" xfId="0" applyNumberFormat="1" applyBorder="1" applyAlignment="1">
      <alignment vertical="center"/>
    </xf>
    <xf numFmtId="42" fontId="0" fillId="0" borderId="8" xfId="1" applyNumberFormat="1" applyFont="1" applyBorder="1" applyAlignment="1">
      <alignment vertical="center" wrapText="1"/>
    </xf>
    <xf numFmtId="0" fontId="0" fillId="0" borderId="6" xfId="0" applyFill="1" applyBorder="1" applyAlignment="1">
      <alignment vertical="center" wrapText="1"/>
    </xf>
    <xf numFmtId="0" fontId="0" fillId="3" borderId="6" xfId="0" applyFill="1" applyBorder="1" applyAlignment="1">
      <alignment horizontal="center" vertical="center" wrapText="1"/>
    </xf>
    <xf numFmtId="0" fontId="0" fillId="3" borderId="0" xfId="0" applyFill="1" applyBorder="1" applyAlignment="1">
      <alignment vertical="center"/>
    </xf>
    <xf numFmtId="0" fontId="5" fillId="0" borderId="15" xfId="0" applyFont="1" applyBorder="1" applyAlignment="1">
      <alignment horizontal="center" vertical="center"/>
    </xf>
    <xf numFmtId="165" fontId="5" fillId="0" borderId="20" xfId="0" applyNumberFormat="1" applyFont="1" applyBorder="1" applyAlignment="1">
      <alignment vertical="center"/>
    </xf>
    <xf numFmtId="42" fontId="0" fillId="0" borderId="6" xfId="0" applyNumberFormat="1" applyBorder="1" applyAlignment="1">
      <alignment vertical="center" wrapText="1"/>
    </xf>
    <xf numFmtId="9" fontId="0" fillId="0" borderId="6" xfId="2" applyFont="1" applyBorder="1" applyAlignment="1">
      <alignment vertical="center" wrapText="1"/>
    </xf>
    <xf numFmtId="165" fontId="0" fillId="3" borderId="6" xfId="0" applyNumberFormat="1" applyFill="1" applyBorder="1" applyAlignment="1">
      <alignment vertical="center" wrapText="1"/>
    </xf>
    <xf numFmtId="0" fontId="0" fillId="0" borderId="8" xfId="0" applyBorder="1" applyAlignment="1">
      <alignment vertical="center" wrapText="1"/>
    </xf>
    <xf numFmtId="165" fontId="0" fillId="3" borderId="10" xfId="0" applyNumberFormat="1" applyFill="1" applyBorder="1" applyAlignment="1">
      <alignment vertical="center" wrapText="1"/>
    </xf>
    <xf numFmtId="0" fontId="0" fillId="0" borderId="3" xfId="0" applyBorder="1" applyAlignment="1">
      <alignment vertical="center" wrapText="1"/>
    </xf>
    <xf numFmtId="0" fontId="0" fillId="0" borderId="6" xfId="0" applyFont="1" applyBorder="1" applyAlignment="1">
      <alignment vertical="center" wrapText="1"/>
    </xf>
    <xf numFmtId="44" fontId="0" fillId="0" borderId="6" xfId="1" applyNumberFormat="1" applyFont="1" applyBorder="1" applyAlignment="1">
      <alignment wrapText="1"/>
    </xf>
    <xf numFmtId="167" fontId="0" fillId="0" borderId="6" xfId="1" applyNumberFormat="1" applyFont="1" applyBorder="1" applyAlignment="1">
      <alignment wrapText="1"/>
    </xf>
    <xf numFmtId="0" fontId="0" fillId="0" borderId="0" xfId="0" applyFont="1" applyBorder="1" applyAlignment="1">
      <alignment horizontal="center"/>
    </xf>
    <xf numFmtId="0" fontId="0" fillId="0" borderId="0" xfId="0" applyFont="1" applyBorder="1" applyAlignment="1">
      <alignment wrapText="1"/>
    </xf>
    <xf numFmtId="0" fontId="0" fillId="0" borderId="4" xfId="0" applyBorder="1" applyAlignment="1">
      <alignment horizontal="center"/>
    </xf>
    <xf numFmtId="44" fontId="0" fillId="0" borderId="0" xfId="0" applyNumberFormat="1" applyBorder="1"/>
    <xf numFmtId="9" fontId="0" fillId="0" borderId="4" xfId="2" applyFont="1" applyBorder="1" applyAlignment="1">
      <alignment horizontal="center" wrapText="1"/>
    </xf>
    <xf numFmtId="9" fontId="0" fillId="0" borderId="4" xfId="2" applyFont="1" applyBorder="1" applyAlignment="1">
      <alignment horizontal="center"/>
    </xf>
    <xf numFmtId="165" fontId="0" fillId="0" borderId="0" xfId="1" applyNumberFormat="1" applyFont="1" applyBorder="1" applyAlignment="1">
      <alignment wrapText="1"/>
    </xf>
    <xf numFmtId="0" fontId="5" fillId="0" borderId="21" xfId="0" applyFont="1" applyBorder="1" applyAlignment="1">
      <alignment horizontal="center"/>
    </xf>
    <xf numFmtId="0" fontId="0" fillId="0" borderId="20" xfId="0" applyBorder="1"/>
    <xf numFmtId="0" fontId="5" fillId="0" borderId="0" xfId="0" applyFont="1" applyBorder="1" applyAlignment="1"/>
    <xf numFmtId="0" fontId="0" fillId="0" borderId="0" xfId="0" applyBorder="1" applyAlignment="1">
      <alignment vertical="top" wrapText="1"/>
    </xf>
    <xf numFmtId="44" fontId="0" fillId="0" borderId="6" xfId="0" applyNumberFormat="1" applyBorder="1" applyAlignment="1">
      <alignment wrapText="1"/>
    </xf>
    <xf numFmtId="0" fontId="0" fillId="0" borderId="6" xfId="0" applyFont="1" applyBorder="1" applyAlignment="1">
      <alignment horizontal="center" wrapText="1"/>
    </xf>
    <xf numFmtId="44" fontId="0" fillId="0" borderId="10" xfId="0" applyNumberFormat="1" applyBorder="1" applyAlignment="1">
      <alignment wrapText="1"/>
    </xf>
    <xf numFmtId="0" fontId="0" fillId="0" borderId="10" xfId="0" applyBorder="1" applyAlignment="1">
      <alignment wrapText="1"/>
    </xf>
    <xf numFmtId="14" fontId="0" fillId="0" borderId="6" xfId="0" applyNumberFormat="1" applyBorder="1" applyAlignment="1">
      <alignment horizontal="right" wrapText="1"/>
    </xf>
    <xf numFmtId="49" fontId="5" fillId="0" borderId="6" xfId="0" applyNumberFormat="1" applyFont="1" applyBorder="1" applyAlignment="1">
      <alignment wrapText="1"/>
    </xf>
    <xf numFmtId="0" fontId="0" fillId="0" borderId="0" xfId="0" applyAlignment="1">
      <alignment horizontal="center" vertical="center"/>
    </xf>
    <xf numFmtId="9" fontId="0" fillId="0" borderId="0" xfId="0" applyNumberFormat="1" applyBorder="1" applyAlignment="1">
      <alignment horizontal="center" vertical="center"/>
    </xf>
    <xf numFmtId="9" fontId="0" fillId="0" borderId="0" xfId="0" applyNumberFormat="1" applyAlignment="1">
      <alignment horizontal="center" vertical="center"/>
    </xf>
    <xf numFmtId="165" fontId="0" fillId="0" borderId="0" xfId="1" applyNumberFormat="1" applyFont="1"/>
    <xf numFmtId="0" fontId="0" fillId="0" borderId="0" xfId="0" applyAlignment="1">
      <alignment horizontal="center"/>
    </xf>
    <xf numFmtId="0" fontId="6" fillId="0" borderId="0" xfId="0" applyFont="1" applyBorder="1" applyAlignment="1">
      <alignment horizontal="center" vertical="center"/>
    </xf>
    <xf numFmtId="49" fontId="5" fillId="0" borderId="9" xfId="0" applyNumberFormat="1" applyFont="1" applyBorder="1" applyAlignment="1">
      <alignment wrapText="1"/>
    </xf>
    <xf numFmtId="0" fontId="0" fillId="0" borderId="6" xfId="0" applyFont="1" applyFill="1" applyBorder="1" applyAlignment="1">
      <alignment vertical="center" wrapText="1"/>
    </xf>
    <xf numFmtId="0" fontId="0" fillId="0" borderId="4" xfId="0" applyFill="1" applyBorder="1"/>
    <xf numFmtId="49" fontId="0" fillId="0" borderId="0" xfId="0" applyNumberFormat="1" applyBorder="1" applyAlignment="1">
      <alignment horizontal="center"/>
    </xf>
    <xf numFmtId="0" fontId="0" fillId="0" borderId="18" xfId="0" applyBorder="1" applyAlignment="1">
      <alignment horizontal="center" vertical="center"/>
    </xf>
    <xf numFmtId="9" fontId="0" fillId="0" borderId="4" xfId="0" applyNumberFormat="1" applyBorder="1" applyAlignment="1">
      <alignment horizontal="center" vertical="center"/>
    </xf>
    <xf numFmtId="165" fontId="5" fillId="0" borderId="16" xfId="1" applyNumberFormat="1" applyFont="1" applyBorder="1"/>
    <xf numFmtId="165" fontId="5" fillId="0" borderId="17" xfId="1" applyNumberFormat="1" applyFont="1" applyBorder="1" applyAlignment="1">
      <alignment wrapText="1"/>
    </xf>
    <xf numFmtId="0" fontId="0" fillId="0" borderId="18" xfId="0" applyBorder="1" applyAlignment="1">
      <alignment horizontal="center"/>
    </xf>
    <xf numFmtId="49" fontId="0" fillId="0" borderId="6" xfId="0" applyNumberFormat="1" applyFont="1" applyBorder="1" applyAlignment="1">
      <alignment horizontal="center" vertical="center" wrapText="1"/>
    </xf>
    <xf numFmtId="165" fontId="0" fillId="0" borderId="6" xfId="0" applyNumberFormat="1" applyBorder="1" applyAlignment="1">
      <alignment vertical="center" wrapText="1"/>
    </xf>
    <xf numFmtId="14" fontId="0" fillId="0" borderId="6" xfId="0" applyNumberFormat="1" applyBorder="1" applyAlignment="1">
      <alignment horizontal="center" vertical="center" wrapText="1"/>
    </xf>
    <xf numFmtId="9" fontId="0" fillId="0" borderId="6" xfId="0" applyNumberFormat="1" applyBorder="1" applyAlignment="1">
      <alignment horizontal="center" vertical="center" wrapText="1"/>
    </xf>
    <xf numFmtId="49" fontId="0" fillId="0" borderId="6" xfId="0" applyNumberFormat="1" applyBorder="1" applyAlignment="1">
      <alignment horizontal="center" vertical="center" wrapText="1"/>
    </xf>
    <xf numFmtId="41" fontId="0" fillId="0" borderId="6" xfId="1" applyNumberFormat="1" applyFont="1" applyBorder="1" applyAlignment="1">
      <alignment vertical="center" wrapText="1"/>
    </xf>
    <xf numFmtId="14" fontId="0" fillId="0" borderId="6" xfId="0" applyNumberFormat="1" applyFill="1" applyBorder="1" applyAlignment="1">
      <alignment horizontal="center" vertical="center" wrapText="1"/>
    </xf>
    <xf numFmtId="9" fontId="0" fillId="0" borderId="6" xfId="0" applyNumberFormat="1" applyFill="1" applyBorder="1" applyAlignment="1">
      <alignment horizontal="center" vertical="center" wrapText="1"/>
    </xf>
    <xf numFmtId="165" fontId="0" fillId="0" borderId="10" xfId="0" applyNumberFormat="1" applyBorder="1" applyAlignment="1">
      <alignment vertical="center" wrapText="1"/>
    </xf>
    <xf numFmtId="9" fontId="0" fillId="0" borderId="10" xfId="0" applyNumberFormat="1" applyBorder="1" applyAlignment="1">
      <alignment horizontal="center" vertical="center" wrapText="1"/>
    </xf>
    <xf numFmtId="165" fontId="0" fillId="0" borderId="3" xfId="1" applyNumberFormat="1" applyFont="1" applyBorder="1" applyAlignment="1">
      <alignment vertical="center" wrapText="1"/>
    </xf>
    <xf numFmtId="0" fontId="0" fillId="0" borderId="10" xfId="0" applyBorder="1" applyAlignment="1">
      <alignment horizontal="center" vertical="center" wrapText="1"/>
    </xf>
    <xf numFmtId="0" fontId="8" fillId="0" borderId="0" xfId="5" applyFont="1" applyFill="1" applyAlignment="1">
      <alignment vertical="top" wrapText="1"/>
    </xf>
    <xf numFmtId="0" fontId="9" fillId="0" borderId="6" xfId="5" applyFont="1" applyFill="1" applyBorder="1" applyAlignment="1">
      <alignment vertical="top" wrapText="1"/>
    </xf>
    <xf numFmtId="0" fontId="15" fillId="0" borderId="0" xfId="3" applyFont="1" applyFill="1" applyBorder="1" applyAlignment="1">
      <alignment horizontal="left" vertical="top" wrapText="1"/>
    </xf>
    <xf numFmtId="0" fontId="8" fillId="0" borderId="0" xfId="5" applyFont="1" applyFill="1" applyBorder="1" applyAlignment="1">
      <alignment horizontal="left" vertical="top" wrapText="1"/>
    </xf>
    <xf numFmtId="42" fontId="8" fillId="0" borderId="0" xfId="6" applyNumberFormat="1" applyFont="1" applyFill="1" applyAlignment="1">
      <alignment horizontal="right" vertical="top" wrapText="1"/>
    </xf>
    <xf numFmtId="0" fontId="8" fillId="0" borderId="0" xfId="7" applyFont="1" applyAlignment="1">
      <alignment vertical="top"/>
    </xf>
    <xf numFmtId="0" fontId="8" fillId="0" borderId="0" xfId="7" applyFont="1" applyAlignment="1">
      <alignment horizontal="center" vertical="top"/>
    </xf>
    <xf numFmtId="14" fontId="15" fillId="0" borderId="0" xfId="3" applyNumberFormat="1" applyFont="1" applyFill="1" applyBorder="1" applyAlignment="1">
      <alignment horizontal="left" vertical="top" wrapText="1"/>
    </xf>
    <xf numFmtId="14" fontId="8" fillId="0" borderId="0" xfId="5" applyNumberFormat="1" applyFont="1" applyFill="1" applyBorder="1" applyAlignment="1">
      <alignment horizontal="left" vertical="top" wrapText="1"/>
    </xf>
    <xf numFmtId="0" fontId="9" fillId="0" borderId="0" xfId="5" applyFont="1" applyFill="1" applyBorder="1" applyAlignment="1">
      <alignment vertical="top" wrapText="1"/>
    </xf>
    <xf numFmtId="0" fontId="8" fillId="0" borderId="0" xfId="5" applyFont="1" applyFill="1" applyBorder="1" applyAlignment="1">
      <alignment vertical="top" wrapText="1"/>
    </xf>
    <xf numFmtId="0" fontId="15" fillId="0" borderId="0" xfId="3" applyFont="1" applyFill="1" applyAlignment="1">
      <alignment vertical="top" wrapText="1"/>
    </xf>
    <xf numFmtId="0" fontId="9" fillId="5" borderId="22" xfId="5" applyFont="1" applyFill="1" applyBorder="1" applyAlignment="1">
      <alignment horizontal="center" wrapText="1"/>
    </xf>
    <xf numFmtId="0" fontId="9" fillId="5" borderId="23" xfId="5" applyFont="1" applyFill="1" applyBorder="1" applyAlignment="1">
      <alignment horizontal="center" wrapText="1"/>
    </xf>
    <xf numFmtId="0" fontId="17" fillId="0" borderId="23" xfId="3" applyFont="1" applyFill="1" applyBorder="1" applyAlignment="1">
      <alignment horizontal="center" wrapText="1"/>
    </xf>
    <xf numFmtId="42" fontId="9" fillId="5" borderId="23" xfId="6" applyNumberFormat="1" applyFont="1" applyFill="1" applyBorder="1" applyAlignment="1">
      <alignment horizontal="center" wrapText="1"/>
    </xf>
    <xf numFmtId="0" fontId="9" fillId="5" borderId="23" xfId="0" applyFont="1" applyFill="1" applyBorder="1" applyAlignment="1">
      <alignment horizontal="center" wrapText="1"/>
    </xf>
    <xf numFmtId="9" fontId="9" fillId="5" borderId="23" xfId="2" applyFont="1" applyFill="1" applyBorder="1" applyAlignment="1">
      <alignment horizontal="center" wrapText="1"/>
    </xf>
    <xf numFmtId="9" fontId="9" fillId="5" borderId="23" xfId="2" applyNumberFormat="1" applyFont="1" applyFill="1" applyBorder="1" applyAlignment="1">
      <alignment horizontal="center" wrapText="1"/>
    </xf>
    <xf numFmtId="44" fontId="9" fillId="5" borderId="23" xfId="0" applyNumberFormat="1" applyFont="1" applyFill="1" applyBorder="1" applyAlignment="1">
      <alignment horizontal="center" wrapText="1"/>
    </xf>
    <xf numFmtId="0" fontId="9" fillId="5" borderId="24" xfId="0" applyFont="1" applyFill="1" applyBorder="1" applyAlignment="1">
      <alignment horizontal="center" wrapText="1"/>
    </xf>
    <xf numFmtId="0" fontId="18" fillId="0" borderId="25" xfId="8" applyFont="1" applyFill="1" applyBorder="1" applyAlignment="1">
      <alignment horizontal="center" vertical="top" wrapText="1"/>
    </xf>
    <xf numFmtId="0" fontId="8" fillId="0" borderId="6" xfId="7" applyFont="1" applyFill="1" applyBorder="1" applyAlignment="1">
      <alignment horizontal="center" vertical="top" wrapText="1"/>
    </xf>
    <xf numFmtId="0" fontId="18" fillId="0" borderId="6" xfId="9" applyFont="1" applyFill="1" applyBorder="1" applyAlignment="1">
      <alignment vertical="top" wrapText="1"/>
    </xf>
    <xf numFmtId="0" fontId="18" fillId="0" borderId="6" xfId="9" applyFont="1" applyFill="1" applyBorder="1" applyAlignment="1">
      <alignment horizontal="left" vertical="top" wrapText="1"/>
    </xf>
    <xf numFmtId="0" fontId="15" fillId="0" borderId="6" xfId="3" applyFont="1" applyFill="1" applyBorder="1" applyAlignment="1">
      <alignment horizontal="left" vertical="top" wrapText="1"/>
    </xf>
    <xf numFmtId="42" fontId="8" fillId="0" borderId="6" xfId="5" applyNumberFormat="1" applyFont="1" applyFill="1" applyBorder="1" applyAlignment="1">
      <alignment vertical="top" wrapText="1"/>
    </xf>
    <xf numFmtId="42" fontId="8" fillId="0" borderId="6" xfId="6" applyNumberFormat="1" applyFont="1" applyFill="1" applyBorder="1" applyAlignment="1">
      <alignment horizontal="right" vertical="top" wrapText="1"/>
    </xf>
    <xf numFmtId="0" fontId="8" fillId="0" borderId="6" xfId="7" applyFont="1" applyBorder="1" applyAlignment="1">
      <alignment vertical="top"/>
    </xf>
    <xf numFmtId="42" fontId="8" fillId="0" borderId="6" xfId="7" applyNumberFormat="1" applyFont="1" applyBorder="1" applyAlignment="1">
      <alignment vertical="top"/>
    </xf>
    <xf numFmtId="0" fontId="8" fillId="0" borderId="26" xfId="7" applyFont="1" applyBorder="1" applyAlignment="1">
      <alignment horizontal="center" vertical="top"/>
    </xf>
    <xf numFmtId="0" fontId="8" fillId="0" borderId="6" xfId="5" applyFont="1" applyFill="1" applyBorder="1" applyAlignment="1">
      <alignment horizontal="center" vertical="top" wrapText="1"/>
    </xf>
    <xf numFmtId="0" fontId="8" fillId="0" borderId="6" xfId="5" applyFont="1" applyFill="1" applyBorder="1" applyAlignment="1">
      <alignment vertical="top" wrapText="1"/>
    </xf>
    <xf numFmtId="0" fontId="8" fillId="0" borderId="6" xfId="5" applyFont="1" applyFill="1" applyBorder="1" applyAlignment="1">
      <alignment horizontal="left" vertical="top" wrapText="1"/>
    </xf>
    <xf numFmtId="0" fontId="8" fillId="0" borderId="6" xfId="7" applyFont="1" applyFill="1" applyBorder="1" applyAlignment="1">
      <alignment horizontal="left" vertical="top" wrapText="1"/>
    </xf>
    <xf numFmtId="16" fontId="18" fillId="0" borderId="6" xfId="8" quotePrefix="1" applyNumberFormat="1" applyFont="1" applyFill="1" applyBorder="1" applyAlignment="1">
      <alignment horizontal="center" vertical="top" wrapText="1"/>
    </xf>
    <xf numFmtId="0" fontId="18" fillId="0" borderId="6" xfId="8" applyFont="1" applyFill="1" applyBorder="1" applyAlignment="1">
      <alignment horizontal="left" vertical="top" wrapText="1"/>
    </xf>
    <xf numFmtId="0" fontId="8" fillId="0" borderId="6" xfId="10" applyFont="1" applyFill="1" applyBorder="1" applyAlignment="1">
      <alignment vertical="top" wrapText="1"/>
    </xf>
    <xf numFmtId="0" fontId="18" fillId="0" borderId="6" xfId="8" applyFont="1" applyFill="1" applyBorder="1" applyAlignment="1">
      <alignment horizontal="center" vertical="top" wrapText="1"/>
    </xf>
    <xf numFmtId="42" fontId="18" fillId="0" borderId="6" xfId="6" applyNumberFormat="1" applyFont="1" applyFill="1" applyBorder="1" applyAlignment="1">
      <alignment horizontal="right" vertical="top" wrapText="1"/>
    </xf>
    <xf numFmtId="42" fontId="8" fillId="0" borderId="10" xfId="6" applyNumberFormat="1" applyFont="1" applyFill="1" applyBorder="1" applyAlignment="1">
      <alignment horizontal="right" vertical="top" wrapText="1"/>
    </xf>
    <xf numFmtId="0" fontId="19" fillId="0" borderId="0" xfId="8" applyFont="1" applyFill="1" applyBorder="1" applyAlignment="1">
      <alignment horizontal="center" vertical="top" wrapText="1"/>
    </xf>
    <xf numFmtId="0" fontId="9" fillId="0" borderId="0" xfId="5" applyFont="1" applyFill="1" applyBorder="1" applyAlignment="1">
      <alignment horizontal="left" vertical="top" wrapText="1"/>
    </xf>
    <xf numFmtId="0" fontId="17" fillId="0" borderId="0" xfId="3" applyFont="1" applyFill="1" applyBorder="1" applyAlignment="1">
      <alignment horizontal="left" vertical="top" wrapText="1"/>
    </xf>
    <xf numFmtId="0" fontId="17" fillId="0" borderId="0" xfId="0" applyFont="1" applyFill="1" applyBorder="1" applyAlignment="1">
      <alignment vertical="top" wrapText="1"/>
    </xf>
    <xf numFmtId="165" fontId="17" fillId="0" borderId="17" xfId="0" applyNumberFormat="1" applyFont="1" applyFill="1" applyBorder="1" applyAlignment="1">
      <alignment vertical="top" wrapText="1"/>
    </xf>
    <xf numFmtId="0" fontId="8" fillId="0" borderId="6" xfId="7" applyFont="1" applyFill="1" applyBorder="1" applyAlignment="1">
      <alignment vertical="top"/>
    </xf>
    <xf numFmtId="0" fontId="8" fillId="0" borderId="6" xfId="7" applyFont="1" applyBorder="1" applyAlignment="1">
      <alignment vertical="top" wrapText="1"/>
    </xf>
    <xf numFmtId="42" fontId="8" fillId="0" borderId="6" xfId="7" applyNumberFormat="1" applyFont="1" applyBorder="1" applyAlignment="1">
      <alignment vertical="top" wrapText="1"/>
    </xf>
    <xf numFmtId="0" fontId="8" fillId="0" borderId="26" xfId="7" applyFont="1" applyBorder="1" applyAlignment="1">
      <alignment horizontal="center" vertical="top" wrapText="1"/>
    </xf>
    <xf numFmtId="14" fontId="8" fillId="0" borderId="6" xfId="7" applyNumberFormat="1" applyFont="1" applyBorder="1" applyAlignment="1">
      <alignment vertical="top" wrapText="1"/>
    </xf>
    <xf numFmtId="0" fontId="0" fillId="0" borderId="0" xfId="0" applyFont="1" applyAlignment="1">
      <alignment horizontal="left"/>
    </xf>
    <xf numFmtId="0" fontId="5" fillId="0" borderId="6" xfId="0" applyFont="1" applyBorder="1" applyAlignment="1">
      <alignment horizontal="left" wrapText="1"/>
    </xf>
    <xf numFmtId="0" fontId="0" fillId="0" borderId="0" xfId="0" applyFont="1" applyBorder="1" applyAlignment="1">
      <alignment horizontal="center" vertical="center" wrapText="1"/>
    </xf>
    <xf numFmtId="164" fontId="0" fillId="0" borderId="0" xfId="0" applyNumberFormat="1" applyFont="1" applyBorder="1" applyAlignment="1">
      <alignment horizontal="left" wrapText="1"/>
    </xf>
    <xf numFmtId="168" fontId="20" fillId="0" borderId="0" xfId="0" applyNumberFormat="1" applyFont="1" applyAlignment="1">
      <alignment horizontal="left"/>
    </xf>
    <xf numFmtId="0" fontId="20" fillId="0" borderId="0" xfId="0" applyNumberFormat="1" applyFont="1" applyBorder="1" applyAlignment="1">
      <alignment horizontal="left"/>
    </xf>
    <xf numFmtId="0" fontId="20" fillId="0" borderId="0" xfId="0" applyNumberFormat="1" applyFont="1" applyAlignment="1" applyProtection="1">
      <alignment horizontal="left"/>
      <protection locked="0"/>
    </xf>
    <xf numFmtId="14" fontId="0" fillId="0" borderId="0" xfId="0" applyNumberFormat="1" applyFont="1" applyBorder="1" applyAlignment="1">
      <alignment horizontal="center" vertical="center" wrapText="1"/>
    </xf>
    <xf numFmtId="0" fontId="0" fillId="0" borderId="0" xfId="0" applyFont="1" applyBorder="1" applyAlignment="1">
      <alignment horizontal="left"/>
    </xf>
    <xf numFmtId="168" fontId="21" fillId="0" borderId="0" xfId="0" applyNumberFormat="1" applyFont="1" applyBorder="1" applyAlignment="1">
      <alignment horizontal="left"/>
    </xf>
    <xf numFmtId="0" fontId="20" fillId="0" borderId="0" xfId="0" applyNumberFormat="1" applyFont="1" applyBorder="1" applyAlignment="1" applyProtection="1">
      <alignment horizontal="left"/>
      <protection locked="0"/>
    </xf>
    <xf numFmtId="0" fontId="0" fillId="0" borderId="0" xfId="0" applyFont="1" applyBorder="1" applyAlignment="1">
      <alignment horizontal="center" vertical="center"/>
    </xf>
    <xf numFmtId="164" fontId="0" fillId="0" borderId="0" xfId="0" applyNumberFormat="1" applyFont="1" applyBorder="1" applyAlignment="1">
      <alignment horizontal="left"/>
    </xf>
    <xf numFmtId="0" fontId="20" fillId="0" borderId="0" xfId="0" applyNumberFormat="1" applyFont="1" applyAlignment="1">
      <alignment horizontal="left"/>
    </xf>
    <xf numFmtId="0" fontId="5" fillId="0" borderId="0" xfId="0" applyFont="1" applyBorder="1" applyAlignment="1">
      <alignment horizontal="left" wrapText="1"/>
    </xf>
    <xf numFmtId="0" fontId="0" fillId="0" borderId="0" xfId="0" applyFont="1" applyBorder="1" applyAlignment="1">
      <alignment horizontal="left" wrapText="1"/>
    </xf>
    <xf numFmtId="0" fontId="0" fillId="0" borderId="0" xfId="0" applyFont="1" applyAlignment="1">
      <alignment horizontal="left" wrapText="1"/>
    </xf>
    <xf numFmtId="0" fontId="0" fillId="0" borderId="0" xfId="0" applyFont="1" applyAlignment="1">
      <alignment horizontal="center" vertical="center" wrapText="1"/>
    </xf>
    <xf numFmtId="164" fontId="0" fillId="0" borderId="0" xfId="0" applyNumberFormat="1" applyFont="1" applyAlignment="1">
      <alignment horizontal="left" wrapText="1"/>
    </xf>
    <xf numFmtId="0" fontId="22" fillId="0" borderId="0" xfId="0" applyFont="1" applyAlignment="1">
      <alignment horizontal="left"/>
    </xf>
    <xf numFmtId="0" fontId="22" fillId="0" borderId="0" xfId="0" applyNumberFormat="1" applyFont="1" applyAlignment="1">
      <alignment horizontal="left"/>
    </xf>
    <xf numFmtId="0" fontId="22" fillId="0" borderId="0" xfId="0" applyNumberFormat="1" applyFont="1" applyAlignment="1" applyProtection="1">
      <alignment horizontal="left"/>
      <protection locked="0"/>
    </xf>
    <xf numFmtId="0" fontId="0" fillId="0" borderId="22" xfId="0" applyFont="1" applyFill="1" applyBorder="1" applyAlignment="1">
      <alignment horizontal="center" vertical="center" wrapText="1"/>
    </xf>
    <xf numFmtId="49" fontId="24" fillId="0" borderId="23" xfId="0" applyNumberFormat="1" applyFont="1" applyFill="1" applyBorder="1" applyAlignment="1">
      <alignment horizontal="center" vertical="center" wrapText="1"/>
    </xf>
    <xf numFmtId="0" fontId="0" fillId="0" borderId="23" xfId="0" applyFont="1" applyFill="1" applyBorder="1" applyAlignment="1">
      <alignment horizontal="left" vertical="center" wrapText="1"/>
    </xf>
    <xf numFmtId="0" fontId="0" fillId="0" borderId="23" xfId="0" applyFont="1" applyFill="1" applyBorder="1" applyAlignment="1">
      <alignment horizontal="center" vertical="center" wrapText="1"/>
    </xf>
    <xf numFmtId="164" fontId="0" fillId="0" borderId="23" xfId="0" applyNumberFormat="1" applyFont="1" applyFill="1" applyBorder="1" applyAlignment="1">
      <alignment horizontal="center" vertical="center" wrapText="1"/>
    </xf>
    <xf numFmtId="164" fontId="24" fillId="0" borderId="23" xfId="0" applyNumberFormat="1" applyFont="1" applyFill="1" applyBorder="1" applyAlignment="1">
      <alignment horizontal="center" vertical="center" wrapText="1"/>
    </xf>
    <xf numFmtId="168" fontId="24" fillId="0" borderId="23" xfId="2" applyNumberFormat="1" applyFont="1" applyFill="1" applyBorder="1" applyAlignment="1">
      <alignment horizontal="center" vertical="center" wrapText="1"/>
    </xf>
    <xf numFmtId="9" fontId="24" fillId="0" borderId="23" xfId="2" applyFont="1" applyFill="1" applyBorder="1" applyAlignment="1">
      <alignment horizontal="center" vertical="center" wrapText="1"/>
    </xf>
    <xf numFmtId="9" fontId="24" fillId="0" borderId="23" xfId="2" applyNumberFormat="1" applyFont="1" applyFill="1" applyBorder="1" applyAlignment="1" applyProtection="1">
      <alignment horizontal="center" vertical="center" wrapText="1"/>
      <protection locked="0"/>
    </xf>
    <xf numFmtId="5" fontId="24" fillId="0" borderId="23" xfId="1" applyNumberFormat="1" applyFont="1" applyFill="1" applyBorder="1" applyAlignment="1">
      <alignment horizontal="center" vertical="center" wrapText="1"/>
    </xf>
    <xf numFmtId="5" fontId="24" fillId="0" borderId="24" xfId="1" applyNumberFormat="1" applyFont="1" applyFill="1" applyBorder="1" applyAlignment="1">
      <alignment horizontal="center" vertical="center" wrapText="1"/>
    </xf>
    <xf numFmtId="0" fontId="0" fillId="0" borderId="25" xfId="0" applyFont="1" applyFill="1" applyBorder="1" applyAlignment="1">
      <alignment horizontal="center" vertical="center" wrapText="1"/>
    </xf>
    <xf numFmtId="49" fontId="24" fillId="0" borderId="6" xfId="0" applyNumberFormat="1"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6" xfId="0" applyFont="1" applyFill="1" applyBorder="1" applyAlignment="1">
      <alignment horizontal="center" vertical="center" wrapText="1"/>
    </xf>
    <xf numFmtId="164" fontId="0" fillId="0" borderId="6" xfId="0" applyNumberFormat="1" applyFont="1" applyFill="1" applyBorder="1" applyAlignment="1">
      <alignment horizontal="center" vertical="center" wrapText="1"/>
    </xf>
    <xf numFmtId="164" fontId="24" fillId="0" borderId="6" xfId="0" applyNumberFormat="1" applyFont="1" applyFill="1" applyBorder="1" applyAlignment="1">
      <alignment horizontal="center" vertical="center" wrapText="1"/>
    </xf>
    <xf numFmtId="168" fontId="24" fillId="0" borderId="6" xfId="2" applyNumberFormat="1" applyFont="1" applyFill="1" applyBorder="1" applyAlignment="1">
      <alignment horizontal="center" vertical="center" wrapText="1"/>
    </xf>
    <xf numFmtId="9" fontId="24" fillId="0" borderId="6" xfId="2" applyFont="1" applyFill="1" applyBorder="1" applyAlignment="1">
      <alignment horizontal="center" vertical="center" wrapText="1"/>
    </xf>
    <xf numFmtId="9" fontId="24" fillId="0" borderId="6" xfId="2" applyNumberFormat="1" applyFont="1" applyFill="1" applyBorder="1" applyAlignment="1" applyProtection="1">
      <alignment horizontal="center" vertical="center" wrapText="1"/>
      <protection locked="0"/>
    </xf>
    <xf numFmtId="5" fontId="24" fillId="0" borderId="6" xfId="1" applyNumberFormat="1" applyFont="1" applyFill="1" applyBorder="1" applyAlignment="1">
      <alignment horizontal="center" vertical="center" wrapText="1"/>
    </xf>
    <xf numFmtId="5" fontId="24" fillId="0" borderId="26" xfId="1" applyNumberFormat="1" applyFont="1" applyFill="1" applyBorder="1" applyAlignment="1">
      <alignment horizontal="center" vertical="center" wrapText="1"/>
    </xf>
    <xf numFmtId="0" fontId="24" fillId="0" borderId="6" xfId="0" applyFont="1" applyFill="1" applyBorder="1" applyAlignment="1">
      <alignment horizontal="left" vertical="center" wrapText="1"/>
    </xf>
    <xf numFmtId="0" fontId="5" fillId="0" borderId="26" xfId="0" applyFont="1" applyFill="1" applyBorder="1" applyAlignment="1">
      <alignment horizontal="center" vertical="center" wrapText="1"/>
    </xf>
    <xf numFmtId="9" fontId="0" fillId="0" borderId="6" xfId="2" applyFont="1" applyFill="1" applyBorder="1" applyAlignment="1">
      <alignment horizontal="left" vertical="center" wrapText="1"/>
    </xf>
    <xf numFmtId="9" fontId="24" fillId="0" borderId="6" xfId="2" applyFont="1" applyFill="1" applyBorder="1" applyAlignment="1">
      <alignment horizontal="left" vertical="center" wrapText="1"/>
    </xf>
    <xf numFmtId="0" fontId="0" fillId="0" borderId="32" xfId="0" applyFont="1" applyFill="1" applyBorder="1" applyAlignment="1">
      <alignment horizontal="center" vertical="center" wrapText="1"/>
    </xf>
    <xf numFmtId="49" fontId="24" fillId="0" borderId="30" xfId="0" applyNumberFormat="1" applyFont="1" applyFill="1" applyBorder="1" applyAlignment="1">
      <alignment horizontal="center" vertical="center" wrapText="1"/>
    </xf>
    <xf numFmtId="0" fontId="0" fillId="0" borderId="30" xfId="0" applyFont="1" applyFill="1" applyBorder="1" applyAlignment="1">
      <alignment horizontal="left" vertical="center" wrapText="1"/>
    </xf>
    <xf numFmtId="0" fontId="0" fillId="0" borderId="30" xfId="0" applyFont="1" applyFill="1" applyBorder="1" applyAlignment="1">
      <alignment horizontal="center" vertical="center" wrapText="1"/>
    </xf>
    <xf numFmtId="164" fontId="0" fillId="0" borderId="30" xfId="0" applyNumberFormat="1" applyFont="1" applyFill="1" applyBorder="1" applyAlignment="1">
      <alignment horizontal="center" vertical="center" wrapText="1"/>
    </xf>
    <xf numFmtId="164" fontId="24" fillId="0" borderId="30" xfId="0" applyNumberFormat="1" applyFont="1" applyFill="1" applyBorder="1" applyAlignment="1">
      <alignment horizontal="center" vertical="center" wrapText="1"/>
    </xf>
    <xf numFmtId="168" fontId="24" fillId="0" borderId="30" xfId="2" applyNumberFormat="1" applyFont="1" applyFill="1" applyBorder="1" applyAlignment="1">
      <alignment horizontal="center" vertical="center" wrapText="1"/>
    </xf>
    <xf numFmtId="9" fontId="24" fillId="0" borderId="30" xfId="2" applyFont="1" applyFill="1" applyBorder="1" applyAlignment="1">
      <alignment horizontal="center" vertical="center" wrapText="1"/>
    </xf>
    <xf numFmtId="9" fontId="24" fillId="0" borderId="30" xfId="2" applyNumberFormat="1" applyFont="1" applyFill="1" applyBorder="1" applyAlignment="1" applyProtection="1">
      <alignment horizontal="center" vertical="center" wrapText="1"/>
      <protection locked="0"/>
    </xf>
    <xf numFmtId="5" fontId="24" fillId="0" borderId="30" xfId="1" applyNumberFormat="1" applyFont="1" applyFill="1" applyBorder="1" applyAlignment="1">
      <alignment horizontal="center" vertical="center" wrapText="1"/>
    </xf>
    <xf numFmtId="0" fontId="5" fillId="0" borderId="31" xfId="0" applyFont="1" applyFill="1" applyBorder="1" applyAlignment="1">
      <alignment horizontal="center" vertical="center" wrapText="1"/>
    </xf>
    <xf numFmtId="0" fontId="22" fillId="0" borderId="6" xfId="0" applyNumberFormat="1" applyFont="1" applyFill="1" applyBorder="1" applyAlignment="1">
      <alignment horizontal="center" vertical="center" wrapText="1"/>
    </xf>
    <xf numFmtId="0" fontId="22" fillId="0" borderId="6" xfId="0" applyNumberFormat="1" applyFont="1" applyFill="1" applyBorder="1" applyAlignment="1" applyProtection="1">
      <alignment horizontal="center" vertical="center" wrapText="1"/>
      <protection locked="0"/>
    </xf>
    <xf numFmtId="5" fontId="24" fillId="0" borderId="31" xfId="1" applyNumberFormat="1" applyFont="1" applyFill="1" applyBorder="1" applyAlignment="1">
      <alignment horizontal="center" vertical="center" wrapText="1"/>
    </xf>
    <xf numFmtId="0" fontId="5" fillId="0" borderId="21" xfId="0" applyFont="1" applyBorder="1" applyAlignment="1">
      <alignment horizontal="center" vertical="center"/>
    </xf>
    <xf numFmtId="165" fontId="5" fillId="0" borderId="33" xfId="0" applyNumberFormat="1" applyFont="1" applyBorder="1"/>
    <xf numFmtId="0" fontId="0" fillId="0" borderId="20" xfId="0" applyFont="1" applyBorder="1"/>
    <xf numFmtId="0" fontId="0" fillId="0" borderId="0" xfId="0" applyFont="1" applyBorder="1"/>
    <xf numFmtId="165" fontId="5" fillId="0" borderId="34" xfId="0" applyNumberFormat="1" applyFont="1" applyBorder="1"/>
    <xf numFmtId="165" fontId="5" fillId="0" borderId="35" xfId="1" applyNumberFormat="1" applyFont="1" applyBorder="1" applyAlignment="1">
      <alignment wrapText="1"/>
    </xf>
    <xf numFmtId="165" fontId="0" fillId="0" borderId="24" xfId="0" applyNumberFormat="1" applyFont="1" applyFill="1" applyBorder="1" applyAlignment="1">
      <alignment horizontal="center" vertical="center" wrapText="1"/>
    </xf>
    <xf numFmtId="165" fontId="0" fillId="0" borderId="26" xfId="0" applyNumberFormat="1" applyFont="1" applyFill="1" applyBorder="1" applyAlignment="1">
      <alignment horizontal="center" vertical="center" wrapText="1"/>
    </xf>
    <xf numFmtId="165" fontId="0" fillId="0" borderId="31" xfId="0" applyNumberFormat="1" applyFont="1" applyFill="1" applyBorder="1" applyAlignment="1">
      <alignment horizontal="center" vertical="center" wrapText="1"/>
    </xf>
    <xf numFmtId="0" fontId="0" fillId="0" borderId="24" xfId="0" applyFont="1" applyFill="1" applyBorder="1" applyAlignment="1">
      <alignment horizontal="center" vertical="center" wrapText="1"/>
    </xf>
    <xf numFmtId="169" fontId="0" fillId="0" borderId="26" xfId="0" applyNumberFormat="1" applyFont="1" applyFill="1" applyBorder="1" applyAlignment="1">
      <alignment horizontal="center" vertical="center" wrapText="1"/>
    </xf>
    <xf numFmtId="0" fontId="0" fillId="0" borderId="0" xfId="0" applyAlignment="1">
      <alignment vertical="center"/>
    </xf>
    <xf numFmtId="0" fontId="5" fillId="0" borderId="6" xfId="0" applyFont="1" applyBorder="1" applyAlignment="1">
      <alignment vertical="center" wrapText="1"/>
    </xf>
    <xf numFmtId="0" fontId="0" fillId="0" borderId="0" xfId="0" applyBorder="1" applyAlignment="1">
      <alignment horizontal="left" vertical="center" wrapText="1"/>
    </xf>
    <xf numFmtId="42" fontId="0" fillId="0" borderId="0" xfId="1" applyNumberFormat="1" applyFont="1" applyAlignment="1">
      <alignment vertical="center"/>
    </xf>
    <xf numFmtId="14" fontId="0" fillId="0" borderId="0" xfId="0" applyNumberFormat="1" applyBorder="1" applyAlignment="1">
      <alignment horizontal="left" vertical="center" wrapText="1"/>
    </xf>
    <xf numFmtId="42" fontId="0" fillId="0" borderId="0" xfId="1" applyNumberFormat="1" applyFont="1" applyBorder="1" applyAlignment="1">
      <alignment vertical="center"/>
    </xf>
    <xf numFmtId="14" fontId="6" fillId="0" borderId="6" xfId="0" applyNumberFormat="1" applyFont="1" applyBorder="1" applyAlignment="1">
      <alignment horizontal="left" vertical="center"/>
    </xf>
    <xf numFmtId="0" fontId="0" fillId="0" borderId="0" xfId="0" applyBorder="1" applyAlignment="1">
      <alignment horizontal="left" vertical="center"/>
    </xf>
    <xf numFmtId="0" fontId="5" fillId="0" borderId="9" xfId="0" applyFont="1" applyBorder="1" applyAlignment="1">
      <alignment vertical="center" wrapText="1"/>
    </xf>
    <xf numFmtId="0" fontId="0" fillId="0" borderId="9" xfId="0" applyBorder="1" applyAlignment="1">
      <alignment vertical="center" wrapText="1"/>
    </xf>
    <xf numFmtId="0" fontId="0" fillId="0" borderId="0" xfId="0" applyAlignment="1">
      <alignment vertical="center" wrapText="1"/>
    </xf>
    <xf numFmtId="0" fontId="0" fillId="0" borderId="6" xfId="0" applyFill="1" applyBorder="1" applyAlignment="1">
      <alignment horizontal="center" vertical="center" wrapText="1"/>
    </xf>
    <xf numFmtId="0" fontId="0" fillId="0" borderId="6" xfId="5" applyFont="1" applyBorder="1" applyAlignment="1">
      <alignment vertical="center" wrapText="1"/>
    </xf>
    <xf numFmtId="42" fontId="24" fillId="0" borderId="6" xfId="1" applyNumberFormat="1" applyFont="1" applyBorder="1" applyAlignment="1">
      <alignment horizontal="center" vertical="center" wrapText="1"/>
    </xf>
    <xf numFmtId="42" fontId="0" fillId="0" borderId="6" xfId="1" applyNumberFormat="1" applyFont="1" applyBorder="1" applyAlignment="1">
      <alignment horizontal="center" vertical="center" wrapText="1"/>
    </xf>
    <xf numFmtId="49" fontId="0" fillId="0" borderId="6" xfId="0" applyNumberFormat="1" applyBorder="1" applyAlignment="1">
      <alignment horizontal="center" vertical="center"/>
    </xf>
    <xf numFmtId="0" fontId="0" fillId="0" borderId="6" xfId="0" applyFill="1" applyBorder="1" applyAlignment="1">
      <alignment horizontal="center" vertical="center"/>
    </xf>
    <xf numFmtId="0" fontId="0" fillId="0" borderId="6" xfId="5" applyFont="1" applyBorder="1" applyAlignment="1">
      <alignment horizontal="left" vertical="center" wrapText="1"/>
    </xf>
    <xf numFmtId="41" fontId="0" fillId="0" borderId="6" xfId="1" applyNumberFormat="1" applyFont="1" applyBorder="1" applyAlignment="1">
      <alignment horizontal="center" vertical="center" wrapText="1"/>
    </xf>
    <xf numFmtId="41" fontId="0" fillId="0" borderId="6" xfId="1" applyNumberFormat="1" applyFont="1" applyBorder="1" applyAlignment="1">
      <alignment vertical="center"/>
    </xf>
    <xf numFmtId="9" fontId="0" fillId="0" borderId="6" xfId="0" applyNumberFormat="1" applyBorder="1" applyAlignment="1">
      <alignment horizontal="center" vertical="center"/>
    </xf>
    <xf numFmtId="42" fontId="0" fillId="0" borderId="10" xfId="1" applyNumberFormat="1" applyFont="1" applyBorder="1" applyAlignment="1">
      <alignment vertical="center" wrapText="1"/>
    </xf>
    <xf numFmtId="41" fontId="0" fillId="0" borderId="10" xfId="1" applyNumberFormat="1" applyFont="1" applyBorder="1" applyAlignment="1">
      <alignment vertical="center"/>
    </xf>
    <xf numFmtId="42" fontId="0" fillId="0" borderId="3" xfId="1" applyNumberFormat="1" applyFont="1" applyBorder="1" applyAlignment="1">
      <alignment vertical="center"/>
    </xf>
    <xf numFmtId="42" fontId="5" fillId="0" borderId="6" xfId="1" applyNumberFormat="1" applyFont="1" applyBorder="1" applyAlignment="1">
      <alignment vertical="center"/>
    </xf>
    <xf numFmtId="44" fontId="0" fillId="0" borderId="4" xfId="1" applyFont="1" applyBorder="1" applyAlignment="1">
      <alignment horizontal="center" vertical="center"/>
    </xf>
    <xf numFmtId="42" fontId="0" fillId="0" borderId="4" xfId="0" applyNumberFormat="1" applyBorder="1" applyAlignment="1">
      <alignment horizontal="center" vertical="center"/>
    </xf>
    <xf numFmtId="0" fontId="0" fillId="0" borderId="4" xfId="0" applyBorder="1" applyAlignment="1">
      <alignment horizontal="center" vertical="center"/>
    </xf>
    <xf numFmtId="165" fontId="5" fillId="0" borderId="6" xfId="0" applyNumberFormat="1" applyFont="1" applyBorder="1" applyAlignment="1">
      <alignment vertical="center"/>
    </xf>
    <xf numFmtId="42" fontId="0" fillId="0" borderId="0" xfId="0" applyNumberFormat="1" applyAlignment="1">
      <alignment horizontal="center" vertical="center"/>
    </xf>
    <xf numFmtId="42" fontId="0" fillId="0" borderId="0" xfId="0" applyNumberFormat="1" applyBorder="1" applyAlignment="1">
      <alignment horizontal="center" vertical="center"/>
    </xf>
    <xf numFmtId="42" fontId="6" fillId="0" borderId="0" xfId="0" applyNumberFormat="1" applyFont="1" applyBorder="1" applyAlignment="1">
      <alignment horizontal="center" vertical="center"/>
    </xf>
    <xf numFmtId="0" fontId="5" fillId="0" borderId="10" xfId="0" applyFont="1" applyBorder="1" applyAlignment="1">
      <alignment wrapText="1"/>
    </xf>
    <xf numFmtId="0" fontId="5" fillId="0" borderId="11" xfId="0" applyFont="1" applyBorder="1" applyAlignment="1">
      <alignment wrapText="1"/>
    </xf>
    <xf numFmtId="0" fontId="5" fillId="0" borderId="10" xfId="0" applyFont="1" applyBorder="1" applyAlignment="1">
      <alignment vertical="center" wrapText="1"/>
    </xf>
    <xf numFmtId="42" fontId="5" fillId="0" borderId="6" xfId="1" applyNumberFormat="1" applyFont="1" applyBorder="1" applyAlignment="1">
      <alignment horizontal="center" vertical="center" wrapText="1"/>
    </xf>
    <xf numFmtId="42" fontId="5" fillId="0" borderId="6" xfId="0" applyNumberFormat="1" applyFont="1" applyBorder="1" applyAlignment="1">
      <alignment horizontal="center" vertical="center" wrapText="1"/>
    </xf>
    <xf numFmtId="42" fontId="0" fillId="0" borderId="6" xfId="0" applyNumberFormat="1" applyBorder="1" applyAlignment="1">
      <alignment horizontal="center" vertical="center" wrapText="1"/>
    </xf>
    <xf numFmtId="42" fontId="0" fillId="0" borderId="6" xfId="1" applyNumberFormat="1" applyFont="1" applyBorder="1" applyAlignment="1">
      <alignment vertical="center"/>
    </xf>
    <xf numFmtId="42" fontId="0" fillId="0" borderId="6" xfId="0" applyNumberFormat="1" applyBorder="1" applyAlignment="1">
      <alignment horizontal="center" vertical="center"/>
    </xf>
    <xf numFmtId="42" fontId="0" fillId="0" borderId="10" xfId="1" applyNumberFormat="1" applyFont="1" applyBorder="1" applyAlignment="1">
      <alignment vertical="center"/>
    </xf>
    <xf numFmtId="42" fontId="0" fillId="0" borderId="10" xfId="0" applyNumberFormat="1" applyBorder="1" applyAlignment="1">
      <alignment horizontal="center" vertical="center"/>
    </xf>
    <xf numFmtId="0" fontId="5" fillId="0" borderId="0" xfId="0" applyFont="1" applyBorder="1" applyAlignment="1">
      <alignment vertical="center"/>
    </xf>
    <xf numFmtId="42" fontId="5" fillId="0" borderId="0" xfId="1" applyNumberFormat="1" applyFont="1" applyBorder="1" applyAlignment="1">
      <alignment vertical="center"/>
    </xf>
    <xf numFmtId="42" fontId="0" fillId="0" borderId="0" xfId="1" applyNumberFormat="1" applyFont="1" applyBorder="1" applyAlignment="1">
      <alignment vertical="center" wrapText="1"/>
    </xf>
    <xf numFmtId="42" fontId="5" fillId="0" borderId="0" xfId="0" applyNumberFormat="1" applyFont="1" applyBorder="1" applyAlignment="1">
      <alignment horizontal="center" vertical="center"/>
    </xf>
    <xf numFmtId="0" fontId="0" fillId="0" borderId="0" xfId="0" applyBorder="1" applyAlignment="1">
      <alignment vertical="center" wrapText="1"/>
    </xf>
    <xf numFmtId="42" fontId="0" fillId="0" borderId="0" xfId="0" applyNumberFormat="1" applyBorder="1" applyAlignment="1">
      <alignment horizontal="center" vertical="center" wrapText="1"/>
    </xf>
    <xf numFmtId="0" fontId="27" fillId="6" borderId="6" xfId="11" applyFont="1" applyFill="1" applyBorder="1" applyAlignment="1" applyProtection="1">
      <alignment horizontal="center" vertical="top" wrapText="1"/>
    </xf>
    <xf numFmtId="0" fontId="28" fillId="0" borderId="6" xfId="11" applyFont="1" applyBorder="1" applyAlignment="1" applyProtection="1">
      <alignment vertical="center"/>
      <protection locked="0"/>
    </xf>
    <xf numFmtId="0" fontId="26" fillId="0" borderId="6" xfId="11" applyFont="1" applyBorder="1" applyProtection="1">
      <protection locked="0"/>
    </xf>
    <xf numFmtId="0" fontId="28" fillId="0" borderId="6" xfId="11" applyFont="1" applyBorder="1" applyAlignment="1" applyProtection="1">
      <alignment horizontal="center" vertical="center"/>
    </xf>
    <xf numFmtId="0" fontId="26" fillId="0" borderId="0" xfId="11" applyProtection="1">
      <protection locked="0"/>
    </xf>
    <xf numFmtId="5" fontId="7" fillId="0" borderId="6" xfId="12" applyNumberFormat="1" applyFont="1" applyBorder="1" applyAlignment="1">
      <alignment horizontal="right" vertical="top" wrapText="1"/>
    </xf>
    <xf numFmtId="0" fontId="24" fillId="0" borderId="6" xfId="11" applyFont="1" applyBorder="1" applyAlignment="1" applyProtection="1">
      <alignment horizontal="center"/>
      <protection locked="0"/>
    </xf>
    <xf numFmtId="0" fontId="28" fillId="7" borderId="6" xfId="11" applyFont="1" applyFill="1" applyBorder="1" applyAlignment="1" applyProtection="1">
      <alignment vertical="center"/>
      <protection locked="0"/>
    </xf>
    <xf numFmtId="0" fontId="26" fillId="7" borderId="6" xfId="11" applyFont="1" applyFill="1" applyBorder="1" applyProtection="1">
      <protection locked="0"/>
    </xf>
    <xf numFmtId="0" fontId="28" fillId="7" borderId="6" xfId="11" applyFont="1" applyFill="1" applyBorder="1" applyAlignment="1" applyProtection="1">
      <alignment horizontal="center" vertical="center"/>
    </xf>
    <xf numFmtId="5" fontId="7" fillId="7" borderId="6" xfId="12" applyNumberFormat="1" applyFont="1" applyFill="1" applyBorder="1" applyAlignment="1">
      <alignment horizontal="right" vertical="top" wrapText="1"/>
    </xf>
    <xf numFmtId="0" fontId="24" fillId="7" borderId="6" xfId="11" applyFont="1" applyFill="1" applyBorder="1" applyAlignment="1" applyProtection="1">
      <alignment horizontal="center"/>
      <protection locked="0"/>
    </xf>
    <xf numFmtId="0" fontId="0" fillId="0" borderId="6" xfId="0" quotePrefix="1" applyBorder="1" applyAlignment="1">
      <alignment horizontal="center" wrapText="1"/>
    </xf>
    <xf numFmtId="42" fontId="0" fillId="0" borderId="6" xfId="12" applyNumberFormat="1" applyFont="1" applyBorder="1" applyAlignment="1">
      <alignment wrapText="1"/>
    </xf>
    <xf numFmtId="165" fontId="0" fillId="0" borderId="6" xfId="12" applyNumberFormat="1" applyFont="1" applyBorder="1" applyAlignment="1">
      <alignment wrapText="1"/>
    </xf>
    <xf numFmtId="165" fontId="0" fillId="0" borderId="8" xfId="12" applyNumberFormat="1" applyFont="1" applyBorder="1" applyAlignment="1">
      <alignment wrapText="1"/>
    </xf>
    <xf numFmtId="0" fontId="29" fillId="0" borderId="6" xfId="0" applyFont="1" applyBorder="1" applyAlignment="1"/>
    <xf numFmtId="0" fontId="0" fillId="3" borderId="6" xfId="0" applyFill="1" applyBorder="1" applyAlignment="1">
      <alignment horizontal="left" wrapText="1"/>
    </xf>
    <xf numFmtId="165" fontId="0" fillId="3" borderId="6" xfId="12" applyNumberFormat="1" applyFont="1" applyFill="1" applyBorder="1" applyAlignment="1">
      <alignment wrapText="1"/>
    </xf>
    <xf numFmtId="165" fontId="0" fillId="0" borderId="10" xfId="12" applyNumberFormat="1" applyFont="1" applyBorder="1" applyAlignment="1">
      <alignment wrapText="1"/>
    </xf>
    <xf numFmtId="0" fontId="5" fillId="0" borderId="4" xfId="0" applyFont="1" applyBorder="1" applyAlignment="1">
      <alignment horizontal="center"/>
    </xf>
    <xf numFmtId="0" fontId="0" fillId="0" borderId="15" xfId="0" applyBorder="1"/>
    <xf numFmtId="0" fontId="0" fillId="5" borderId="2" xfId="4" applyFont="1" applyFill="1" applyBorder="1"/>
    <xf numFmtId="164" fontId="1" fillId="5" borderId="0" xfId="4" applyNumberFormat="1" applyFill="1" applyBorder="1" applyAlignment="1">
      <alignment horizontal="center" wrapText="1"/>
    </xf>
    <xf numFmtId="10" fontId="3" fillId="5" borderId="0" xfId="4" applyNumberFormat="1" applyFont="1" applyFill="1" applyBorder="1" applyAlignment="1">
      <alignment horizontal="center" wrapText="1"/>
    </xf>
    <xf numFmtId="10" fontId="1" fillId="5" borderId="0" xfId="4" applyNumberFormat="1" applyFill="1" applyBorder="1" applyAlignment="1">
      <alignment horizontal="center" wrapText="1"/>
    </xf>
    <xf numFmtId="10" fontId="1" fillId="5" borderId="1" xfId="4" applyNumberFormat="1" applyFill="1" applyBorder="1" applyAlignment="1">
      <alignment horizontal="center"/>
    </xf>
    <xf numFmtId="10" fontId="1" fillId="5" borderId="0" xfId="4" applyNumberFormat="1" applyFont="1" applyFill="1" applyBorder="1" applyAlignment="1">
      <alignment horizontal="center" wrapText="1"/>
    </xf>
    <xf numFmtId="0" fontId="1" fillId="5" borderId="2" xfId="4" applyFill="1" applyBorder="1"/>
    <xf numFmtId="0" fontId="30" fillId="0" borderId="2" xfId="4" applyFont="1" applyFill="1" applyBorder="1"/>
    <xf numFmtId="0" fontId="7" fillId="0" borderId="5" xfId="5" applyFont="1" applyBorder="1"/>
    <xf numFmtId="0" fontId="7" fillId="0" borderId="4" xfId="5" applyFont="1" applyBorder="1"/>
    <xf numFmtId="0" fontId="7" fillId="0" borderId="4" xfId="5" applyFont="1" applyBorder="1" applyAlignment="1">
      <alignment wrapText="1"/>
    </xf>
    <xf numFmtId="49" fontId="5" fillId="0" borderId="4" xfId="5" applyNumberFormat="1" applyFont="1" applyBorder="1" applyAlignment="1">
      <alignment wrapText="1"/>
    </xf>
    <xf numFmtId="5" fontId="7" fillId="0" borderId="5" xfId="1" applyNumberFormat="1" applyFont="1" applyFill="1" applyBorder="1" applyAlignment="1">
      <alignment horizontal="right"/>
    </xf>
    <xf numFmtId="0" fontId="7" fillId="0" borderId="4" xfId="5" applyFont="1" applyBorder="1" applyAlignment="1">
      <alignment horizontal="right"/>
    </xf>
    <xf numFmtId="0" fontId="7" fillId="0" borderId="4" xfId="5" applyFont="1" applyFill="1" applyBorder="1"/>
    <xf numFmtId="5" fontId="7" fillId="0" borderId="4" xfId="5" applyNumberFormat="1" applyFont="1" applyBorder="1" applyAlignment="1">
      <alignment horizontal="right"/>
    </xf>
    <xf numFmtId="0" fontId="7" fillId="0" borderId="3" xfId="5" applyFont="1" applyBorder="1" applyAlignment="1">
      <alignment horizontal="right" wrapText="1"/>
    </xf>
    <xf numFmtId="0" fontId="7" fillId="0" borderId="2" xfId="5" applyFont="1" applyBorder="1"/>
    <xf numFmtId="0" fontId="7" fillId="0" borderId="0" xfId="5" applyFont="1" applyBorder="1"/>
    <xf numFmtId="0" fontId="7" fillId="0" borderId="0" xfId="5" applyFont="1" applyBorder="1" applyAlignment="1">
      <alignment wrapText="1"/>
    </xf>
    <xf numFmtId="49" fontId="5" fillId="0" borderId="0" xfId="5" applyNumberFormat="1" applyFont="1" applyBorder="1" applyAlignment="1">
      <alignment wrapText="1"/>
    </xf>
    <xf numFmtId="5" fontId="7" fillId="0" borderId="2" xfId="1" applyNumberFormat="1" applyFont="1" applyFill="1" applyBorder="1" applyAlignment="1">
      <alignment horizontal="right"/>
    </xf>
    <xf numFmtId="0" fontId="7" fillId="0" borderId="0" xfId="5" applyFont="1" applyFill="1" applyBorder="1"/>
    <xf numFmtId="5" fontId="7" fillId="0" borderId="0" xfId="5" applyNumberFormat="1" applyFont="1" applyBorder="1" applyAlignment="1">
      <alignment horizontal="right"/>
    </xf>
    <xf numFmtId="0" fontId="7" fillId="0" borderId="1" xfId="5" applyFont="1" applyBorder="1" applyAlignment="1">
      <alignment wrapText="1"/>
    </xf>
    <xf numFmtId="0" fontId="7" fillId="0" borderId="13" xfId="5" applyFont="1" applyBorder="1"/>
    <xf numFmtId="0" fontId="7" fillId="0" borderId="9" xfId="5" applyFont="1" applyBorder="1"/>
    <xf numFmtId="0" fontId="7" fillId="0" borderId="9" xfId="5" applyFont="1" applyBorder="1" applyAlignment="1">
      <alignment wrapText="1"/>
    </xf>
    <xf numFmtId="49" fontId="5" fillId="0" borderId="9" xfId="5" applyNumberFormat="1" applyFont="1" applyBorder="1" applyAlignment="1">
      <alignment wrapText="1"/>
    </xf>
    <xf numFmtId="0" fontId="7" fillId="0" borderId="9" xfId="5" applyFont="1" applyFill="1" applyBorder="1" applyAlignment="1">
      <alignment wrapText="1"/>
    </xf>
    <xf numFmtId="0" fontId="7" fillId="0" borderId="36" xfId="5" applyFont="1" applyBorder="1" applyAlignment="1">
      <alignment wrapText="1"/>
    </xf>
    <xf numFmtId="0" fontId="7" fillId="0" borderId="13" xfId="5" applyFont="1" applyBorder="1" applyAlignment="1">
      <alignment wrapText="1"/>
    </xf>
    <xf numFmtId="164" fontId="7" fillId="0" borderId="12" xfId="5" applyNumberFormat="1" applyFont="1" applyBorder="1" applyAlignment="1"/>
    <xf numFmtId="5" fontId="7" fillId="0" borderId="13" xfId="1" applyNumberFormat="1" applyFont="1" applyBorder="1" applyAlignment="1">
      <alignment horizontal="right"/>
    </xf>
    <xf numFmtId="0" fontId="7" fillId="0" borderId="9" xfId="5" applyFont="1" applyBorder="1" applyAlignment="1">
      <alignment horizontal="right"/>
    </xf>
    <xf numFmtId="0" fontId="7" fillId="0" borderId="9" xfId="5" applyFont="1" applyFill="1" applyBorder="1"/>
    <xf numFmtId="5" fontId="7" fillId="0" borderId="9" xfId="5" applyNumberFormat="1" applyFont="1" applyBorder="1" applyAlignment="1">
      <alignment horizontal="right"/>
    </xf>
    <xf numFmtId="0" fontId="5" fillId="0" borderId="28" xfId="5" applyFont="1" applyBorder="1" applyAlignment="1">
      <alignment horizontal="center" wrapText="1"/>
    </xf>
    <xf numFmtId="0" fontId="5" fillId="0" borderId="11" xfId="5" applyFont="1" applyBorder="1" applyAlignment="1">
      <alignment horizontal="center" wrapText="1"/>
    </xf>
    <xf numFmtId="0" fontId="5" fillId="0" borderId="40" xfId="5" applyFont="1" applyBorder="1" applyAlignment="1">
      <alignment horizontal="center" wrapText="1"/>
    </xf>
    <xf numFmtId="0" fontId="5" fillId="0" borderId="12" xfId="5" applyFont="1" applyBorder="1" applyAlignment="1">
      <alignment horizontal="center" wrapText="1"/>
    </xf>
    <xf numFmtId="0" fontId="7" fillId="0" borderId="25" xfId="0" applyFont="1" applyFill="1" applyBorder="1" applyAlignment="1">
      <alignment horizontal="center" vertical="top"/>
    </xf>
    <xf numFmtId="0" fontId="7" fillId="0" borderId="8" xfId="0" applyFont="1" applyFill="1" applyBorder="1" applyAlignment="1">
      <alignment horizontal="center" vertical="top"/>
    </xf>
    <xf numFmtId="1" fontId="7" fillId="0" borderId="6" xfId="0" applyNumberFormat="1" applyFont="1" applyFill="1" applyBorder="1" applyAlignment="1">
      <alignment horizontal="center" vertical="top" wrapText="1"/>
    </xf>
    <xf numFmtId="49" fontId="7" fillId="0" borderId="6" xfId="0" applyNumberFormat="1" applyFont="1" applyFill="1" applyBorder="1" applyAlignment="1">
      <alignment vertical="top"/>
    </xf>
    <xf numFmtId="0" fontId="7" fillId="0" borderId="6" xfId="5" applyNumberFormat="1" applyFont="1" applyFill="1" applyBorder="1" applyAlignment="1">
      <alignment vertical="top" wrapText="1"/>
    </xf>
    <xf numFmtId="0" fontId="7" fillId="0" borderId="6" xfId="5" applyNumberFormat="1" applyFont="1" applyBorder="1" applyAlignment="1">
      <alignment vertical="top" wrapText="1"/>
    </xf>
    <xf numFmtId="0" fontId="7" fillId="0" borderId="6" xfId="5" applyFont="1" applyBorder="1" applyAlignment="1">
      <alignment horizontal="left" vertical="top" wrapText="1"/>
    </xf>
    <xf numFmtId="164" fontId="7" fillId="0" borderId="6" xfId="12" applyNumberFormat="1" applyFont="1" applyBorder="1" applyAlignment="1">
      <alignment vertical="top" wrapText="1"/>
    </xf>
    <xf numFmtId="5" fontId="7" fillId="0" borderId="6" xfId="1" applyNumberFormat="1" applyFont="1" applyFill="1" applyBorder="1" applyAlignment="1">
      <alignment horizontal="right" vertical="top"/>
    </xf>
    <xf numFmtId="14" fontId="7" fillId="0" borderId="6" xfId="5" applyNumberFormat="1" applyFont="1" applyFill="1" applyBorder="1" applyAlignment="1">
      <alignment horizontal="right" vertical="top" wrapText="1"/>
    </xf>
    <xf numFmtId="9" fontId="7" fillId="0" borderId="6" xfId="13" applyFont="1" applyBorder="1" applyAlignment="1">
      <alignment horizontal="center" vertical="top" wrapText="1"/>
    </xf>
    <xf numFmtId="9" fontId="7" fillId="0" borderId="6" xfId="13" applyFont="1" applyFill="1" applyBorder="1" applyAlignment="1">
      <alignment horizontal="center" vertical="top" wrapText="1"/>
    </xf>
    <xf numFmtId="0" fontId="7" fillId="0" borderId="26" xfId="5" applyFont="1" applyFill="1" applyBorder="1" applyAlignment="1">
      <alignment vertical="top" wrapText="1"/>
    </xf>
    <xf numFmtId="165" fontId="32" fillId="8" borderId="30" xfId="1" applyNumberFormat="1" applyFont="1" applyFill="1" applyBorder="1" applyAlignment="1">
      <alignment horizontal="left" vertical="center" wrapText="1"/>
    </xf>
    <xf numFmtId="165" fontId="32" fillId="8" borderId="30" xfId="12" applyNumberFormat="1" applyFont="1" applyFill="1" applyBorder="1" applyAlignment="1">
      <alignment vertical="center" wrapText="1"/>
    </xf>
    <xf numFmtId="44" fontId="7" fillId="8" borderId="30" xfId="5" applyNumberFormat="1" applyFont="1" applyFill="1" applyBorder="1" applyAlignment="1">
      <alignment horizontal="right" vertical="center" wrapText="1"/>
    </xf>
    <xf numFmtId="9" fontId="33" fillId="8" borderId="30" xfId="13" applyFont="1" applyFill="1" applyBorder="1" applyAlignment="1">
      <alignment horizontal="center" vertical="center" wrapText="1"/>
    </xf>
    <xf numFmtId="165" fontId="33" fillId="8" borderId="30" xfId="12" applyNumberFormat="1" applyFont="1" applyFill="1" applyBorder="1" applyAlignment="1">
      <alignment vertical="center" wrapText="1"/>
    </xf>
    <xf numFmtId="0" fontId="33" fillId="8" borderId="31" xfId="5" applyFont="1" applyFill="1" applyBorder="1" applyAlignment="1">
      <alignment vertical="top" wrapText="1"/>
    </xf>
    <xf numFmtId="49" fontId="7" fillId="0" borderId="45" xfId="0" applyNumberFormat="1" applyFont="1" applyFill="1" applyBorder="1" applyAlignment="1">
      <alignment horizontal="left" vertical="top"/>
    </xf>
    <xf numFmtId="170" fontId="36" fillId="0" borderId="45" xfId="0" applyNumberFormat="1" applyFont="1" applyFill="1" applyBorder="1" applyAlignment="1">
      <alignment horizontal="left" vertical="top" wrapText="1"/>
    </xf>
    <xf numFmtId="42" fontId="36" fillId="0" borderId="45" xfId="0" applyNumberFormat="1" applyFont="1" applyFill="1" applyBorder="1" applyAlignment="1">
      <alignment horizontal="left" vertical="top" wrapText="1"/>
    </xf>
    <xf numFmtId="7" fontId="7" fillId="0" borderId="26" xfId="5" applyNumberFormat="1" applyFont="1" applyFill="1" applyBorder="1" applyAlignment="1">
      <alignment vertical="top" wrapText="1"/>
    </xf>
    <xf numFmtId="42" fontId="36" fillId="0" borderId="45" xfId="0" applyNumberFormat="1" applyFont="1" applyFill="1" applyBorder="1" applyAlignment="1">
      <alignment horizontal="left" vertical="center" wrapText="1"/>
    </xf>
    <xf numFmtId="49" fontId="37" fillId="0" borderId="45" xfId="0" applyNumberFormat="1" applyFont="1" applyFill="1" applyBorder="1" applyAlignment="1">
      <alignment horizontal="left" vertical="top"/>
    </xf>
    <xf numFmtId="170" fontId="38" fillId="0" borderId="45" xfId="0" applyNumberFormat="1" applyFont="1" applyFill="1" applyBorder="1" applyAlignment="1">
      <alignment horizontal="center" vertical="top" wrapText="1"/>
    </xf>
    <xf numFmtId="0" fontId="7" fillId="0" borderId="0" xfId="5" applyFont="1" applyFill="1" applyBorder="1" applyAlignment="1">
      <alignment wrapText="1"/>
    </xf>
    <xf numFmtId="49" fontId="7" fillId="0" borderId="0" xfId="5" applyNumberFormat="1" applyFont="1" applyFill="1" applyBorder="1"/>
    <xf numFmtId="0" fontId="7" fillId="0" borderId="0" xfId="5" applyFont="1" applyFill="1" applyBorder="1" applyAlignment="1"/>
    <xf numFmtId="164" fontId="7" fillId="0" borderId="0" xfId="5" applyNumberFormat="1" applyFont="1" applyFill="1" applyBorder="1" applyAlignment="1"/>
    <xf numFmtId="5" fontId="7" fillId="0" borderId="0" xfId="1" applyNumberFormat="1" applyFont="1" applyFill="1" applyBorder="1" applyAlignment="1">
      <alignment horizontal="right"/>
    </xf>
    <xf numFmtId="0" fontId="7" fillId="0" borderId="0" xfId="5" applyFont="1" applyFill="1" applyBorder="1" applyAlignment="1">
      <alignment horizontal="right"/>
    </xf>
    <xf numFmtId="5" fontId="7" fillId="0" borderId="0" xfId="5" applyNumberFormat="1" applyFont="1" applyFill="1" applyBorder="1" applyAlignment="1">
      <alignment horizontal="right"/>
    </xf>
    <xf numFmtId="0" fontId="1" fillId="0" borderId="13" xfId="4" applyBorder="1"/>
    <xf numFmtId="164" fontId="1" fillId="0" borderId="9" xfId="4" applyNumberFormat="1" applyBorder="1" applyAlignment="1">
      <alignment horizontal="center" wrapText="1"/>
    </xf>
    <xf numFmtId="10" fontId="1" fillId="0" borderId="9" xfId="4" applyNumberFormat="1" applyFont="1" applyBorder="1" applyAlignment="1">
      <alignment horizontal="center" wrapText="1"/>
    </xf>
    <xf numFmtId="10" fontId="1" fillId="0" borderId="36" xfId="4" applyNumberFormat="1" applyFont="1" applyBorder="1" applyAlignment="1">
      <alignment horizontal="center" wrapText="1"/>
    </xf>
    <xf numFmtId="0" fontId="8" fillId="0" borderId="6" xfId="5" applyFont="1" applyFill="1" applyBorder="1" applyAlignment="1">
      <alignment vertical="top"/>
    </xf>
    <xf numFmtId="14" fontId="8" fillId="0" borderId="6" xfId="5" applyNumberFormat="1" applyFont="1" applyFill="1" applyBorder="1" applyAlignment="1">
      <alignment horizontal="left" vertical="top"/>
    </xf>
    <xf numFmtId="42" fontId="5" fillId="0" borderId="10" xfId="1" applyNumberFormat="1" applyFont="1" applyBorder="1" applyAlignment="1">
      <alignment horizontal="center" vertical="center" wrapText="1"/>
    </xf>
    <xf numFmtId="42" fontId="5" fillId="0" borderId="11" xfId="1" applyNumberFormat="1" applyFont="1" applyBorder="1" applyAlignment="1">
      <alignment horizontal="center" vertical="center" wrapText="1"/>
    </xf>
    <xf numFmtId="42" fontId="5" fillId="0" borderId="12" xfId="1" applyNumberFormat="1"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42" fontId="5" fillId="0" borderId="6" xfId="1"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14" fontId="0" fillId="0" borderId="7" xfId="0" applyNumberFormat="1" applyBorder="1" applyAlignment="1">
      <alignment horizontal="left" vertical="center" wrapText="1"/>
    </xf>
    <xf numFmtId="14" fontId="0" fillId="0" borderId="8" xfId="0" applyNumberFormat="1"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5" fillId="0" borderId="7" xfId="0" applyFont="1" applyBorder="1" applyAlignment="1">
      <alignment horizontal="left" vertical="center" wrapText="1"/>
    </xf>
    <xf numFmtId="0" fontId="5" fillId="0" borderId="37" xfId="0" applyFont="1" applyBorder="1" applyAlignment="1">
      <alignment horizontal="left" vertical="center" wrapText="1"/>
    </xf>
    <xf numFmtId="0" fontId="5" fillId="0" borderId="8" xfId="0" applyFont="1" applyBorder="1" applyAlignment="1">
      <alignment horizontal="left" vertical="center" wrapText="1"/>
    </xf>
    <xf numFmtId="0" fontId="0" fillId="0" borderId="37" xfId="0" applyBorder="1" applyAlignment="1">
      <alignment horizontal="left" vertical="center" wrapText="1"/>
    </xf>
    <xf numFmtId="0" fontId="0" fillId="0" borderId="6" xfId="0" applyBorder="1" applyAlignment="1">
      <alignment horizontal="left" vertical="center" wrapText="1"/>
    </xf>
    <xf numFmtId="14" fontId="0" fillId="0" borderId="6" xfId="0" applyNumberFormat="1" applyBorder="1" applyAlignment="1">
      <alignment horizontal="left" vertical="center" wrapText="1"/>
    </xf>
    <xf numFmtId="0" fontId="0" fillId="0" borderId="6" xfId="0" applyBorder="1" applyAlignment="1">
      <alignment horizontal="left" vertical="center"/>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9" xfId="0" applyFont="1" applyBorder="1" applyAlignment="1">
      <alignment horizontal="left" vertical="center" wrapText="1"/>
    </xf>
    <xf numFmtId="0" fontId="5" fillId="0" borderId="36" xfId="0" applyFont="1" applyBorder="1" applyAlignment="1">
      <alignment horizontal="left" vertical="center" wrapText="1"/>
    </xf>
    <xf numFmtId="0" fontId="0" fillId="0" borderId="7" xfId="0" applyFont="1" applyBorder="1" applyAlignment="1">
      <alignment horizontal="left" wrapText="1"/>
    </xf>
    <xf numFmtId="0" fontId="0" fillId="0" borderId="8" xfId="0" applyFont="1" applyBorder="1" applyAlignment="1">
      <alignment horizontal="left" wrapText="1"/>
    </xf>
    <xf numFmtId="14" fontId="0" fillId="0" borderId="7" xfId="0" applyNumberFormat="1" applyFont="1" applyBorder="1" applyAlignment="1">
      <alignment horizontal="left" wrapText="1"/>
    </xf>
    <xf numFmtId="14" fontId="0" fillId="0" borderId="8" xfId="0" applyNumberFormat="1" applyFont="1" applyBorder="1" applyAlignment="1">
      <alignment horizontal="left" wrapText="1"/>
    </xf>
    <xf numFmtId="0" fontId="0" fillId="0" borderId="7" xfId="0" applyFont="1" applyBorder="1" applyAlignment="1">
      <alignment horizontal="left"/>
    </xf>
    <xf numFmtId="0" fontId="0" fillId="0" borderId="8" xfId="0" applyFont="1" applyBorder="1" applyAlignment="1">
      <alignment horizontal="left"/>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31" xfId="0" applyFont="1" applyFill="1" applyBorder="1" applyAlignment="1">
      <alignment horizontal="center" vertical="center" wrapText="1"/>
    </xf>
    <xf numFmtId="164" fontId="5" fillId="0" borderId="23" xfId="0" applyNumberFormat="1" applyFont="1" applyFill="1" applyBorder="1" applyAlignment="1">
      <alignment horizontal="center" vertical="center" wrapText="1"/>
    </xf>
    <xf numFmtId="164" fontId="5" fillId="0" borderId="6" xfId="0" applyNumberFormat="1" applyFont="1" applyFill="1" applyBorder="1" applyAlignment="1">
      <alignment horizontal="center" vertical="center" wrapText="1"/>
    </xf>
    <xf numFmtId="164" fontId="5" fillId="0" borderId="30" xfId="0" applyNumberFormat="1" applyFont="1" applyFill="1" applyBorder="1" applyAlignment="1">
      <alignment horizontal="center" vertical="center" wrapText="1"/>
    </xf>
    <xf numFmtId="168" fontId="5" fillId="0" borderId="23" xfId="0" applyNumberFormat="1" applyFont="1" applyFill="1" applyBorder="1" applyAlignment="1">
      <alignment horizontal="center" vertical="center" wrapText="1"/>
    </xf>
    <xf numFmtId="168" fontId="5" fillId="0" borderId="6" xfId="0" applyNumberFormat="1" applyFont="1" applyFill="1" applyBorder="1" applyAlignment="1">
      <alignment horizontal="center" vertical="center" wrapText="1"/>
    </xf>
    <xf numFmtId="168" fontId="5" fillId="0" borderId="30" xfId="0" applyNumberFormat="1"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0" fillId="0" borderId="7" xfId="0" applyBorder="1" applyAlignment="1">
      <alignment horizontal="left" wrapText="1"/>
    </xf>
    <xf numFmtId="0" fontId="0" fillId="0" borderId="8" xfId="0" applyBorder="1" applyAlignment="1">
      <alignment horizontal="left" wrapText="1"/>
    </xf>
    <xf numFmtId="14" fontId="0" fillId="0" borderId="7" xfId="0" applyNumberFormat="1" applyBorder="1" applyAlignment="1">
      <alignment horizontal="left" wrapText="1"/>
    </xf>
    <xf numFmtId="14" fontId="0" fillId="0" borderId="8" xfId="0" applyNumberFormat="1" applyBorder="1" applyAlignment="1">
      <alignment horizontal="left" wrapText="1"/>
    </xf>
    <xf numFmtId="0" fontId="0" fillId="0" borderId="7" xfId="0" applyBorder="1" applyAlignment="1">
      <alignment horizontal="left"/>
    </xf>
    <xf numFmtId="0" fontId="0" fillId="0" borderId="8" xfId="0" applyBorder="1" applyAlignment="1">
      <alignment horizontal="left"/>
    </xf>
    <xf numFmtId="0" fontId="5" fillId="0" borderId="10" xfId="0" applyFont="1" applyBorder="1" applyAlignment="1">
      <alignment horizontal="center" wrapText="1"/>
    </xf>
    <xf numFmtId="0" fontId="5" fillId="0" borderId="11" xfId="0" applyFont="1" applyBorder="1" applyAlignment="1">
      <alignment horizontal="center" wrapText="1"/>
    </xf>
    <xf numFmtId="0" fontId="5" fillId="0" borderId="12" xfId="0" applyFont="1" applyBorder="1" applyAlignment="1">
      <alignment horizontal="center" wrapText="1"/>
    </xf>
    <xf numFmtId="49" fontId="5" fillId="0" borderId="6" xfId="0" applyNumberFormat="1" applyFont="1" applyBorder="1" applyAlignment="1">
      <alignment horizontal="center" wrapText="1"/>
    </xf>
    <xf numFmtId="0" fontId="5" fillId="0" borderId="6" xfId="0" applyFont="1" applyBorder="1" applyAlignment="1">
      <alignment horizontal="center" wrapText="1"/>
    </xf>
    <xf numFmtId="165" fontId="5" fillId="0" borderId="10" xfId="1" applyNumberFormat="1" applyFont="1" applyBorder="1" applyAlignment="1">
      <alignment horizontal="center" wrapText="1"/>
    </xf>
    <xf numFmtId="165" fontId="5" fillId="0" borderId="11" xfId="1" applyNumberFormat="1" applyFont="1" applyBorder="1" applyAlignment="1">
      <alignment horizontal="center" wrapText="1"/>
    </xf>
    <xf numFmtId="165" fontId="5" fillId="0" borderId="12" xfId="1" applyNumberFormat="1" applyFont="1" applyBorder="1" applyAlignment="1">
      <alignment horizontal="center" wrapText="1"/>
    </xf>
    <xf numFmtId="165" fontId="5" fillId="0" borderId="6" xfId="0" applyNumberFormat="1" applyFont="1" applyBorder="1" applyAlignment="1">
      <alignment horizontal="center" wrapText="1"/>
    </xf>
    <xf numFmtId="9" fontId="5" fillId="0" borderId="5" xfId="0" applyNumberFormat="1" applyFont="1" applyBorder="1" applyAlignment="1">
      <alignment horizontal="center" wrapText="1"/>
    </xf>
    <xf numFmtId="9" fontId="5" fillId="0" borderId="2" xfId="0" applyNumberFormat="1" applyFont="1" applyBorder="1" applyAlignment="1">
      <alignment horizontal="center" wrapText="1"/>
    </xf>
    <xf numFmtId="9" fontId="5" fillId="0" borderId="13" xfId="0" applyNumberFormat="1" applyFont="1" applyBorder="1" applyAlignment="1">
      <alignment horizontal="center" wrapText="1"/>
    </xf>
    <xf numFmtId="9" fontId="5" fillId="0" borderId="6" xfId="0" applyNumberFormat="1" applyFont="1" applyBorder="1" applyAlignment="1">
      <alignment horizontal="center" wrapText="1"/>
    </xf>
    <xf numFmtId="0" fontId="5" fillId="4" borderId="10" xfId="0" applyFont="1" applyFill="1" applyBorder="1" applyAlignment="1">
      <alignment horizontal="center" wrapText="1"/>
    </xf>
    <xf numFmtId="0" fontId="5" fillId="4" borderId="11" xfId="0" applyFont="1" applyFill="1" applyBorder="1" applyAlignment="1">
      <alignment horizontal="center" wrapText="1"/>
    </xf>
    <xf numFmtId="0" fontId="5" fillId="4" borderId="12" xfId="0" applyFont="1" applyFill="1" applyBorder="1" applyAlignment="1">
      <alignment horizontal="center" wrapText="1"/>
    </xf>
    <xf numFmtId="0" fontId="5" fillId="0" borderId="10" xfId="0" applyFont="1" applyFill="1" applyBorder="1" applyAlignment="1">
      <alignment horizontal="center" wrapText="1"/>
    </xf>
    <xf numFmtId="0" fontId="5" fillId="0" borderId="11" xfId="0" applyFont="1" applyFill="1" applyBorder="1" applyAlignment="1">
      <alignment horizontal="center" wrapText="1"/>
    </xf>
    <xf numFmtId="0" fontId="5" fillId="0" borderId="12" xfId="0" applyFont="1" applyFill="1" applyBorder="1" applyAlignment="1">
      <alignment horizontal="center" wrapText="1"/>
    </xf>
    <xf numFmtId="0" fontId="5" fillId="0" borderId="5" xfId="0" applyFont="1" applyFill="1" applyBorder="1" applyAlignment="1">
      <alignment horizontal="center" wrapText="1"/>
    </xf>
    <xf numFmtId="0" fontId="5" fillId="0" borderId="2" xfId="0" applyFont="1" applyFill="1" applyBorder="1" applyAlignment="1">
      <alignment horizontal="center" wrapText="1"/>
    </xf>
    <xf numFmtId="0" fontId="5" fillId="0" borderId="13" xfId="0" applyFont="1" applyFill="1" applyBorder="1" applyAlignment="1">
      <alignment horizontal="center" wrapText="1"/>
    </xf>
    <xf numFmtId="0" fontId="5" fillId="0" borderId="6" xfId="0" applyFont="1" applyFill="1" applyBorder="1" applyAlignment="1">
      <alignment horizontal="center" wrapText="1"/>
    </xf>
    <xf numFmtId="0" fontId="5" fillId="0" borderId="38" xfId="5" applyFont="1" applyFill="1" applyBorder="1" applyAlignment="1">
      <alignment horizontal="center" wrapText="1"/>
    </xf>
    <xf numFmtId="0" fontId="5" fillId="0" borderId="39" xfId="5" applyFont="1" applyFill="1" applyBorder="1" applyAlignment="1">
      <alignment horizontal="center" wrapText="1"/>
    </xf>
    <xf numFmtId="0" fontId="5" fillId="0" borderId="41" xfId="5" applyFont="1" applyFill="1" applyBorder="1" applyAlignment="1">
      <alignment horizontal="center" wrapText="1"/>
    </xf>
    <xf numFmtId="0" fontId="32" fillId="8" borderId="42" xfId="5" applyFont="1" applyFill="1" applyBorder="1" applyAlignment="1">
      <alignment horizontal="center" vertical="center" wrapText="1"/>
    </xf>
    <xf numFmtId="0" fontId="32" fillId="8" borderId="43" xfId="5" applyFont="1" applyFill="1" applyBorder="1" applyAlignment="1">
      <alignment horizontal="center" vertical="center" wrapText="1"/>
    </xf>
    <xf numFmtId="0" fontId="32" fillId="8" borderId="44" xfId="5" applyFont="1" applyFill="1" applyBorder="1" applyAlignment="1">
      <alignment horizontal="center" vertical="center" wrapText="1"/>
    </xf>
    <xf numFmtId="0" fontId="5" fillId="0" borderId="10" xfId="5" applyFont="1" applyBorder="1" applyAlignment="1">
      <alignment horizontal="center" wrapText="1"/>
    </xf>
    <xf numFmtId="0" fontId="5" fillId="0" borderId="11" xfId="5" applyFont="1" applyBorder="1" applyAlignment="1">
      <alignment horizontal="center" wrapText="1"/>
    </xf>
    <xf numFmtId="0" fontId="5" fillId="0" borderId="12" xfId="5" applyFont="1" applyBorder="1" applyAlignment="1">
      <alignment horizontal="center" wrapText="1"/>
    </xf>
    <xf numFmtId="0" fontId="5" fillId="0" borderId="5" xfId="5" applyFont="1" applyBorder="1" applyAlignment="1">
      <alignment horizontal="center" wrapText="1"/>
    </xf>
    <xf numFmtId="0" fontId="5" fillId="0" borderId="2" xfId="5" applyFont="1" applyBorder="1" applyAlignment="1">
      <alignment horizontal="center" wrapText="1"/>
    </xf>
    <xf numFmtId="0" fontId="5" fillId="0" borderId="13" xfId="5" applyFont="1" applyBorder="1" applyAlignment="1">
      <alignment horizontal="center" wrapText="1"/>
    </xf>
    <xf numFmtId="0" fontId="5" fillId="0" borderId="6" xfId="5" applyFont="1" applyFill="1" applyBorder="1" applyAlignment="1">
      <alignment horizontal="center" wrapText="1"/>
    </xf>
    <xf numFmtId="5" fontId="5" fillId="0" borderId="10" xfId="5" applyNumberFormat="1" applyFont="1" applyBorder="1" applyAlignment="1">
      <alignment horizontal="center" wrapText="1"/>
    </xf>
    <xf numFmtId="5" fontId="5" fillId="0" borderId="11" xfId="5" applyNumberFormat="1" applyFont="1" applyBorder="1" applyAlignment="1">
      <alignment horizontal="center" wrapText="1"/>
    </xf>
    <xf numFmtId="5" fontId="5" fillId="0" borderId="12" xfId="5" applyNumberFormat="1" applyFont="1" applyBorder="1" applyAlignment="1">
      <alignment horizontal="center" wrapText="1"/>
    </xf>
    <xf numFmtId="49" fontId="5" fillId="0" borderId="12" xfId="5" applyNumberFormat="1" applyFont="1" applyBorder="1" applyAlignment="1">
      <alignment horizontal="center" wrapText="1"/>
    </xf>
    <xf numFmtId="49" fontId="5" fillId="0" borderId="6" xfId="5" applyNumberFormat="1" applyFont="1" applyBorder="1" applyAlignment="1">
      <alignment horizontal="center" wrapText="1"/>
    </xf>
    <xf numFmtId="0" fontId="5" fillId="0" borderId="12" xfId="5" applyFont="1" applyFill="1" applyBorder="1" applyAlignment="1">
      <alignment horizontal="center" wrapText="1"/>
    </xf>
    <xf numFmtId="0" fontId="5" fillId="0" borderId="6" xfId="5" applyFont="1" applyBorder="1" applyAlignment="1">
      <alignment horizontal="center" wrapText="1"/>
    </xf>
    <xf numFmtId="164" fontId="5" fillId="0" borderId="12" xfId="5" applyNumberFormat="1" applyFont="1" applyBorder="1" applyAlignment="1">
      <alignment horizontal="center" wrapText="1"/>
    </xf>
    <xf numFmtId="164" fontId="5" fillId="0" borderId="6" xfId="5" applyNumberFormat="1" applyFont="1" applyBorder="1" applyAlignment="1">
      <alignment horizontal="center" wrapText="1"/>
    </xf>
    <xf numFmtId="5" fontId="5" fillId="0" borderId="10" xfId="1" applyNumberFormat="1" applyFont="1" applyFill="1" applyBorder="1" applyAlignment="1">
      <alignment horizontal="center" wrapText="1"/>
    </xf>
    <xf numFmtId="5" fontId="5" fillId="0" borderId="11" xfId="1" applyNumberFormat="1" applyFont="1" applyFill="1" applyBorder="1" applyAlignment="1">
      <alignment horizontal="center" wrapText="1"/>
    </xf>
    <xf numFmtId="5" fontId="5" fillId="0" borderId="12" xfId="1" applyNumberFormat="1" applyFont="1" applyFill="1" applyBorder="1" applyAlignment="1">
      <alignment horizontal="center" wrapText="1"/>
    </xf>
    <xf numFmtId="0" fontId="7" fillId="0" borderId="4" xfId="5" applyFont="1" applyBorder="1" applyAlignment="1">
      <alignment horizontal="left" wrapText="1"/>
    </xf>
    <xf numFmtId="0" fontId="7" fillId="0" borderId="3" xfId="5" applyFont="1" applyBorder="1" applyAlignment="1">
      <alignment horizontal="left" wrapText="1"/>
    </xf>
    <xf numFmtId="0" fontId="31" fillId="0" borderId="5" xfId="5" applyFont="1" applyBorder="1" applyAlignment="1">
      <alignment horizontal="center" wrapText="1"/>
    </xf>
    <xf numFmtId="0" fontId="31" fillId="0" borderId="2" xfId="5" applyFont="1" applyBorder="1" applyAlignment="1">
      <alignment horizontal="center" wrapText="1"/>
    </xf>
    <xf numFmtId="164" fontId="7" fillId="0" borderId="10" xfId="5" applyNumberFormat="1" applyFont="1" applyFill="1" applyBorder="1" applyAlignment="1">
      <alignment wrapText="1"/>
    </xf>
    <xf numFmtId="164" fontId="7" fillId="0" borderId="11" xfId="5" applyNumberFormat="1" applyFont="1" applyFill="1" applyBorder="1" applyAlignment="1">
      <alignment wrapText="1"/>
    </xf>
    <xf numFmtId="14" fontId="7" fillId="0" borderId="0" xfId="5" applyNumberFormat="1" applyFont="1" applyFill="1" applyBorder="1" applyAlignment="1">
      <alignment horizontal="left" wrapText="1"/>
    </xf>
    <xf numFmtId="0" fontId="7" fillId="0" borderId="2" xfId="5" applyFont="1" applyBorder="1" applyAlignment="1">
      <alignment horizontal="center" wrapText="1"/>
    </xf>
    <xf numFmtId="0" fontId="7" fillId="0" borderId="0" xfId="5" applyFont="1" applyBorder="1" applyAlignment="1">
      <alignment horizontal="center" wrapText="1"/>
    </xf>
    <xf numFmtId="0" fontId="7" fillId="0" borderId="0" xfId="5" applyFont="1" applyBorder="1" applyAlignment="1">
      <alignment horizontal="left"/>
    </xf>
    <xf numFmtId="0" fontId="7" fillId="0" borderId="1" xfId="5" applyFont="1" applyBorder="1" applyAlignment="1">
      <alignment horizontal="left"/>
    </xf>
    <xf numFmtId="0" fontId="28" fillId="0" borderId="6" xfId="11" applyFont="1" applyBorder="1" applyAlignment="1" applyProtection="1">
      <alignment horizontal="center" vertical="center"/>
      <protection locked="0"/>
    </xf>
    <xf numFmtId="0" fontId="11" fillId="0" borderId="0" xfId="0" applyFont="1" applyAlignment="1">
      <alignment horizontal="center" vertical="top"/>
    </xf>
    <xf numFmtId="0" fontId="0" fillId="0" borderId="9" xfId="0" applyBorder="1" applyAlignment="1">
      <alignment horizontal="center" vertical="top" wrapText="1"/>
    </xf>
    <xf numFmtId="0" fontId="27" fillId="6" borderId="6" xfId="11" applyFont="1" applyFill="1" applyBorder="1" applyAlignment="1" applyProtection="1">
      <alignment horizontal="center" vertical="top" wrapText="1"/>
    </xf>
    <xf numFmtId="0" fontId="28" fillId="7" borderId="6" xfId="11" applyFont="1" applyFill="1" applyBorder="1" applyAlignment="1" applyProtection="1">
      <alignment horizontal="center" vertical="center"/>
      <protection locked="0"/>
    </xf>
    <xf numFmtId="14" fontId="0" fillId="0" borderId="7" xfId="0" applyNumberFormat="1" applyFill="1" applyBorder="1" applyAlignment="1">
      <alignment horizontal="left" wrapText="1"/>
    </xf>
    <xf numFmtId="14" fontId="0" fillId="0" borderId="8" xfId="0" applyNumberFormat="1" applyFill="1" applyBorder="1" applyAlignment="1">
      <alignment horizontal="left" wrapText="1"/>
    </xf>
    <xf numFmtId="0" fontId="5" fillId="0" borderId="5" xfId="0" applyFont="1" applyBorder="1" applyAlignment="1">
      <alignment horizontal="center" wrapText="1"/>
    </xf>
    <xf numFmtId="0" fontId="5" fillId="0" borderId="2" xfId="0" applyFont="1" applyBorder="1" applyAlignment="1">
      <alignment horizontal="center" wrapText="1"/>
    </xf>
    <xf numFmtId="0" fontId="5" fillId="0" borderId="13" xfId="0" applyFont="1" applyBorder="1" applyAlignment="1">
      <alignment horizontal="center" wrapText="1"/>
    </xf>
    <xf numFmtId="0" fontId="0" fillId="0" borderId="37" xfId="0" applyBorder="1" applyAlignment="1">
      <alignment horizontal="left" wrapText="1"/>
    </xf>
    <xf numFmtId="0" fontId="5" fillId="0" borderId="5" xfId="0" applyFont="1" applyBorder="1" applyAlignment="1">
      <alignment horizontal="left" wrapText="1"/>
    </xf>
    <xf numFmtId="0" fontId="5" fillId="0" borderId="4" xfId="0" applyFont="1" applyBorder="1" applyAlignment="1">
      <alignment horizontal="left" wrapText="1"/>
    </xf>
    <xf numFmtId="0" fontId="5" fillId="0" borderId="3" xfId="0" applyFont="1" applyBorder="1" applyAlignment="1">
      <alignment horizontal="left" wrapText="1"/>
    </xf>
    <xf numFmtId="0" fontId="5" fillId="0" borderId="2" xfId="0" applyFont="1" applyBorder="1" applyAlignment="1">
      <alignment horizontal="left" wrapText="1"/>
    </xf>
    <xf numFmtId="0" fontId="5" fillId="0" borderId="0" xfId="0" applyFont="1" applyBorder="1" applyAlignment="1">
      <alignment horizontal="left" wrapText="1"/>
    </xf>
    <xf numFmtId="0" fontId="5" fillId="0" borderId="1" xfId="0" applyFont="1" applyBorder="1" applyAlignment="1">
      <alignment horizontal="left" wrapText="1"/>
    </xf>
    <xf numFmtId="0" fontId="5" fillId="0" borderId="13" xfId="0" applyFont="1" applyBorder="1" applyAlignment="1">
      <alignment horizontal="left" wrapText="1"/>
    </xf>
    <xf numFmtId="0" fontId="5" fillId="0" borderId="9" xfId="0" applyFont="1" applyBorder="1" applyAlignment="1">
      <alignment horizontal="left" wrapText="1"/>
    </xf>
    <xf numFmtId="0" fontId="5" fillId="0" borderId="36" xfId="0" applyFont="1" applyBorder="1" applyAlignment="1">
      <alignment horizontal="left" wrapText="1"/>
    </xf>
    <xf numFmtId="0" fontId="12" fillId="0" borderId="7" xfId="0" applyFont="1" applyBorder="1" applyAlignment="1">
      <alignment horizontal="left" wrapText="1"/>
    </xf>
    <xf numFmtId="0" fontId="12" fillId="0" borderId="8" xfId="0" applyFont="1" applyBorder="1" applyAlignment="1">
      <alignment horizontal="left" wrapText="1"/>
    </xf>
    <xf numFmtId="14" fontId="12" fillId="0" borderId="7" xfId="0" applyNumberFormat="1" applyFont="1" applyBorder="1" applyAlignment="1">
      <alignment horizontal="left" wrapText="1"/>
    </xf>
    <xf numFmtId="14" fontId="12" fillId="0" borderId="8" xfId="0" applyNumberFormat="1" applyFont="1" applyBorder="1" applyAlignment="1">
      <alignment horizontal="left" wrapText="1"/>
    </xf>
    <xf numFmtId="0" fontId="12" fillId="0" borderId="7" xfId="0" applyFont="1" applyBorder="1" applyAlignment="1">
      <alignment horizontal="left"/>
    </xf>
    <xf numFmtId="0" fontId="12" fillId="0" borderId="8" xfId="0" applyFont="1" applyBorder="1" applyAlignment="1">
      <alignment horizontal="left"/>
    </xf>
    <xf numFmtId="0" fontId="11" fillId="0" borderId="10" xfId="0" applyFont="1" applyBorder="1" applyAlignment="1">
      <alignment horizontal="center" wrapText="1"/>
    </xf>
    <xf numFmtId="0" fontId="11" fillId="0" borderId="11" xfId="0" applyFont="1" applyBorder="1" applyAlignment="1">
      <alignment horizontal="center" wrapText="1"/>
    </xf>
    <xf numFmtId="0" fontId="11" fillId="0" borderId="12" xfId="0" applyFont="1" applyBorder="1" applyAlignment="1">
      <alignment horizontal="center" wrapText="1"/>
    </xf>
    <xf numFmtId="0" fontId="11" fillId="0" borderId="6" xfId="0" applyFont="1" applyBorder="1" applyAlignment="1">
      <alignment horizontal="center" wrapText="1"/>
    </xf>
    <xf numFmtId="0" fontId="11" fillId="0" borderId="5" xfId="0" applyFont="1" applyBorder="1" applyAlignment="1">
      <alignment horizontal="center" wrapText="1"/>
    </xf>
    <xf numFmtId="0" fontId="11" fillId="0" borderId="2" xfId="0" applyFont="1" applyBorder="1" applyAlignment="1">
      <alignment horizontal="center" wrapText="1"/>
    </xf>
    <xf numFmtId="0" fontId="11" fillId="0" borderId="13" xfId="0" applyFont="1" applyBorder="1" applyAlignment="1">
      <alignment horizontal="center" wrapText="1"/>
    </xf>
    <xf numFmtId="165" fontId="5" fillId="0" borderId="6" xfId="0" applyNumberFormat="1" applyFont="1" applyBorder="1" applyAlignment="1">
      <alignment horizontal="center" vertical="center" wrapText="1"/>
    </xf>
  </cellXfs>
  <cellStyles count="14">
    <cellStyle name="Currency" xfId="1" builtinId="4"/>
    <cellStyle name="Currency 2" xfId="6"/>
    <cellStyle name="Currency 3" xfId="12"/>
    <cellStyle name="Neutral" xfId="3" builtinId="28"/>
    <cellStyle name="Normal" xfId="0" builtinId="0"/>
    <cellStyle name="Normal 2" xfId="4"/>
    <cellStyle name="Normal 26" xfId="11"/>
    <cellStyle name="Normal 3" xfId="9"/>
    <cellStyle name="Normal 4" xfId="5"/>
    <cellStyle name="Normal 6 2 3" xfId="10"/>
    <cellStyle name="Normal 9" xfId="7"/>
    <cellStyle name="Normal_Sheet1" xfId="8"/>
    <cellStyle name="Percent" xfId="2" builtinId="5"/>
    <cellStyle name="Percent 3"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ptember%202017%20Reports/TMD/TMD%20-%20FY19%20JOC%20Government%20Facilities%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1-Template"/>
      <sheetName val="2-Supplemental Notes"/>
    </sheetNames>
    <sheetDataSet>
      <sheetData sheetId="0"/>
      <sheetData sheetId="1">
        <row r="8">
          <cell r="C8" t="str">
            <v>Camp Mabry Admin Offices
2200 W 35th St Bldg 1
Austin, 78730</v>
          </cell>
          <cell r="F8">
            <v>2500000</v>
          </cell>
        </row>
        <row r="9">
          <cell r="C9" t="str">
            <v>Weslaco Readiness Center
1100 Vo-Tech Drive
Weslaco 78596</v>
          </cell>
          <cell r="F9">
            <v>2500000</v>
          </cell>
        </row>
        <row r="10">
          <cell r="C10" t="str">
            <v>Terrell Readiness Center
Lions Club Parkway 
Hwy 80 West
Terrell 75160</v>
          </cell>
          <cell r="F10">
            <v>1500000</v>
          </cell>
        </row>
        <row r="11">
          <cell r="C11" t="str">
            <v>Fort Worth Shoreview Readiness Center
8111 Shoreview Dr
Fort Worth 76108</v>
          </cell>
          <cell r="F11">
            <v>2000000</v>
          </cell>
        </row>
        <row r="12">
          <cell r="C12" t="str">
            <v>Fort Worth Cobb Park Readiness Center
2101 Cobb Park Dr
Fort Worth 76105</v>
          </cell>
          <cell r="F12">
            <v>2500000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A10" sqref="A10"/>
    </sheetView>
  </sheetViews>
  <sheetFormatPr defaultRowHeight="15"/>
  <cols>
    <col min="1" max="1" width="23.42578125" customWidth="1"/>
    <col min="2" max="2" width="14.85546875" customWidth="1"/>
    <col min="3" max="3" width="15.42578125" customWidth="1"/>
    <col min="4" max="4" width="16.42578125" customWidth="1"/>
    <col min="5" max="5" width="11.85546875" customWidth="1"/>
    <col min="6" max="6" width="12.5703125" customWidth="1"/>
    <col min="7" max="7" width="11.42578125" customWidth="1"/>
    <col min="8" max="8" width="12.42578125" customWidth="1"/>
    <col min="9" max="9" width="12.7109375" customWidth="1"/>
  </cols>
  <sheetData>
    <row r="1" spans="1:9" ht="21">
      <c r="D1" s="19" t="s">
        <v>16</v>
      </c>
    </row>
    <row r="2" spans="1:9" ht="45">
      <c r="A2" s="18"/>
      <c r="B2" s="15" t="s">
        <v>15</v>
      </c>
      <c r="C2" s="15" t="s">
        <v>14</v>
      </c>
      <c r="D2" s="17" t="s">
        <v>13</v>
      </c>
      <c r="E2" s="16" t="s">
        <v>12</v>
      </c>
      <c r="F2" s="17" t="s">
        <v>11</v>
      </c>
      <c r="G2" s="16" t="s">
        <v>10</v>
      </c>
      <c r="H2" s="15" t="s">
        <v>9</v>
      </c>
      <c r="I2" s="14" t="s">
        <v>8</v>
      </c>
    </row>
    <row r="3" spans="1:9">
      <c r="A3" s="4"/>
      <c r="B3" s="2"/>
      <c r="C3" s="2"/>
      <c r="D3" s="2"/>
      <c r="E3" s="3"/>
      <c r="F3" s="2"/>
      <c r="G3" s="3"/>
      <c r="H3" s="2"/>
      <c r="I3" s="1"/>
    </row>
    <row r="4" spans="1:9" ht="15.75">
      <c r="A4" s="410" t="s">
        <v>7</v>
      </c>
      <c r="B4" s="2"/>
      <c r="C4" s="2"/>
      <c r="D4" s="2"/>
      <c r="E4" s="3"/>
      <c r="F4" s="2"/>
      <c r="G4" s="3"/>
      <c r="H4" s="2"/>
      <c r="I4" s="1"/>
    </row>
    <row r="5" spans="1:9">
      <c r="A5" s="403" t="s">
        <v>1242</v>
      </c>
      <c r="B5" s="404">
        <v>12000000</v>
      </c>
      <c r="C5" s="404">
        <v>12000000</v>
      </c>
      <c r="D5" s="404">
        <v>0</v>
      </c>
      <c r="E5" s="405">
        <v>0</v>
      </c>
      <c r="F5" s="404">
        <v>0</v>
      </c>
      <c r="G5" s="406">
        <f t="shared" ref="G5:G15" si="0">F5/C5</f>
        <v>0</v>
      </c>
      <c r="H5" s="404">
        <f t="shared" ref="H5:H16" si="1">SUM(C5-D5-F5)</f>
        <v>12000000</v>
      </c>
      <c r="I5" s="407">
        <f t="shared" ref="I5:I17" si="2">SUM(H5/C5)</f>
        <v>1</v>
      </c>
    </row>
    <row r="6" spans="1:9">
      <c r="A6" s="9" t="s">
        <v>1243</v>
      </c>
      <c r="B6" s="2">
        <v>11000000</v>
      </c>
      <c r="C6" s="6">
        <v>11000000</v>
      </c>
      <c r="D6" s="6">
        <v>0</v>
      </c>
      <c r="E6" s="13">
        <f t="shared" ref="E6:E12" si="3">D6/C6</f>
        <v>0</v>
      </c>
      <c r="F6" s="2">
        <v>0</v>
      </c>
      <c r="G6" s="12">
        <f t="shared" si="0"/>
        <v>0</v>
      </c>
      <c r="H6" s="11">
        <f t="shared" si="1"/>
        <v>11000000</v>
      </c>
      <c r="I6" s="10">
        <f t="shared" si="2"/>
        <v>1</v>
      </c>
    </row>
    <row r="7" spans="1:9">
      <c r="A7" s="403" t="s">
        <v>1244</v>
      </c>
      <c r="B7" s="404">
        <v>66185665</v>
      </c>
      <c r="C7" s="404">
        <v>66185665</v>
      </c>
      <c r="D7" s="404">
        <v>0</v>
      </c>
      <c r="E7" s="408">
        <f t="shared" si="3"/>
        <v>0</v>
      </c>
      <c r="F7" s="404">
        <v>0</v>
      </c>
      <c r="G7" s="406">
        <f t="shared" si="0"/>
        <v>0</v>
      </c>
      <c r="H7" s="404">
        <f t="shared" si="1"/>
        <v>66185665</v>
      </c>
      <c r="I7" s="407">
        <f t="shared" si="2"/>
        <v>1</v>
      </c>
    </row>
    <row r="8" spans="1:9">
      <c r="A8" s="9" t="s">
        <v>1245</v>
      </c>
      <c r="B8" s="2">
        <v>41635989</v>
      </c>
      <c r="C8" s="6">
        <v>41635989</v>
      </c>
      <c r="D8" s="2">
        <v>609388</v>
      </c>
      <c r="E8" s="13">
        <f t="shared" si="3"/>
        <v>1.4636088024713428E-2</v>
      </c>
      <c r="F8" s="2">
        <v>300361</v>
      </c>
      <c r="G8" s="12">
        <f t="shared" si="0"/>
        <v>7.2139753903768204E-3</v>
      </c>
      <c r="H8" s="11">
        <f t="shared" si="1"/>
        <v>40726240</v>
      </c>
      <c r="I8" s="10">
        <f t="shared" si="2"/>
        <v>0.97814993658490978</v>
      </c>
    </row>
    <row r="9" spans="1:9">
      <c r="A9" s="403" t="s">
        <v>1246</v>
      </c>
      <c r="B9" s="404">
        <v>90000000</v>
      </c>
      <c r="C9" s="404">
        <v>90000000</v>
      </c>
      <c r="D9" s="404">
        <v>0</v>
      </c>
      <c r="E9" s="406">
        <f t="shared" si="3"/>
        <v>0</v>
      </c>
      <c r="F9" s="404">
        <v>0</v>
      </c>
      <c r="G9" s="406">
        <f t="shared" si="0"/>
        <v>0</v>
      </c>
      <c r="H9" s="404">
        <f t="shared" si="1"/>
        <v>90000000</v>
      </c>
      <c r="I9" s="407">
        <f t="shared" si="2"/>
        <v>1</v>
      </c>
    </row>
    <row r="10" spans="1:9">
      <c r="A10" s="9" t="s">
        <v>1247</v>
      </c>
      <c r="B10" s="6">
        <v>40127926</v>
      </c>
      <c r="C10" s="6">
        <v>50000000</v>
      </c>
      <c r="D10" s="6">
        <v>0</v>
      </c>
      <c r="E10" s="8">
        <f t="shared" si="3"/>
        <v>0</v>
      </c>
      <c r="F10" s="6">
        <v>0</v>
      </c>
      <c r="G10" s="7">
        <f t="shared" si="0"/>
        <v>0</v>
      </c>
      <c r="H10" s="6">
        <f t="shared" si="1"/>
        <v>50000000</v>
      </c>
      <c r="I10" s="5">
        <f t="shared" si="2"/>
        <v>1</v>
      </c>
    </row>
    <row r="11" spans="1:9">
      <c r="A11" s="403" t="s">
        <v>6</v>
      </c>
      <c r="B11" s="404">
        <v>6350000</v>
      </c>
      <c r="C11" s="404">
        <v>6350000</v>
      </c>
      <c r="D11" s="404">
        <v>1000000</v>
      </c>
      <c r="E11" s="405">
        <f t="shared" si="3"/>
        <v>0.15748031496062992</v>
      </c>
      <c r="F11" s="404">
        <v>0</v>
      </c>
      <c r="G11" s="406">
        <f t="shared" si="0"/>
        <v>0</v>
      </c>
      <c r="H11" s="404">
        <f t="shared" si="1"/>
        <v>5350000</v>
      </c>
      <c r="I11" s="407">
        <f t="shared" si="2"/>
        <v>0.84251968503937003</v>
      </c>
    </row>
    <row r="12" spans="1:9">
      <c r="A12" s="9" t="s">
        <v>5</v>
      </c>
      <c r="B12" s="6">
        <v>4700000</v>
      </c>
      <c r="C12" s="6">
        <v>4700000</v>
      </c>
      <c r="D12" s="6">
        <v>9854</v>
      </c>
      <c r="E12" s="8">
        <f t="shared" si="3"/>
        <v>2.096595744680851E-3</v>
      </c>
      <c r="F12" s="6">
        <v>0</v>
      </c>
      <c r="G12" s="7">
        <f t="shared" si="0"/>
        <v>0</v>
      </c>
      <c r="H12" s="6">
        <f t="shared" si="1"/>
        <v>4690146</v>
      </c>
      <c r="I12" s="5">
        <f t="shared" si="2"/>
        <v>0.9979034042553192</v>
      </c>
    </row>
    <row r="13" spans="1:9">
      <c r="A13" s="403" t="s">
        <v>4</v>
      </c>
      <c r="B13" s="404">
        <v>1800000</v>
      </c>
      <c r="C13" s="404">
        <v>1800000</v>
      </c>
      <c r="D13" s="404">
        <v>0</v>
      </c>
      <c r="E13" s="405">
        <v>0</v>
      </c>
      <c r="F13" s="404">
        <v>0</v>
      </c>
      <c r="G13" s="406">
        <f t="shared" si="0"/>
        <v>0</v>
      </c>
      <c r="H13" s="404">
        <f t="shared" si="1"/>
        <v>1800000</v>
      </c>
      <c r="I13" s="407">
        <f t="shared" si="2"/>
        <v>1</v>
      </c>
    </row>
    <row r="14" spans="1:9">
      <c r="A14" s="9" t="s">
        <v>3</v>
      </c>
      <c r="B14" s="6">
        <v>79923257</v>
      </c>
      <c r="C14" s="6">
        <v>79923257</v>
      </c>
      <c r="D14" s="6">
        <v>0</v>
      </c>
      <c r="E14" s="8">
        <f>D14/C14</f>
        <v>0</v>
      </c>
      <c r="F14" s="6">
        <v>0</v>
      </c>
      <c r="G14" s="7">
        <f t="shared" si="0"/>
        <v>0</v>
      </c>
      <c r="H14" s="6">
        <f t="shared" si="1"/>
        <v>79923257</v>
      </c>
      <c r="I14" s="5">
        <f t="shared" si="2"/>
        <v>1</v>
      </c>
    </row>
    <row r="15" spans="1:9">
      <c r="A15" s="403" t="s">
        <v>2</v>
      </c>
      <c r="B15" s="404">
        <v>79862729</v>
      </c>
      <c r="C15" s="404">
        <v>79862729</v>
      </c>
      <c r="D15" s="404">
        <v>0</v>
      </c>
      <c r="E15" s="405">
        <f>D15/C15</f>
        <v>0</v>
      </c>
      <c r="F15" s="404">
        <v>0</v>
      </c>
      <c r="G15" s="406">
        <f t="shared" si="0"/>
        <v>0</v>
      </c>
      <c r="H15" s="404">
        <f t="shared" si="1"/>
        <v>79862729</v>
      </c>
      <c r="I15" s="407">
        <f t="shared" si="2"/>
        <v>1</v>
      </c>
    </row>
    <row r="16" spans="1:9">
      <c r="A16" s="9" t="s">
        <v>1</v>
      </c>
      <c r="B16" s="6">
        <v>12100000</v>
      </c>
      <c r="C16" s="6">
        <v>12100000</v>
      </c>
      <c r="D16" s="6">
        <v>0</v>
      </c>
      <c r="E16" s="8">
        <f>D16/C16</f>
        <v>0</v>
      </c>
      <c r="F16" s="6">
        <v>0</v>
      </c>
      <c r="G16" s="7">
        <f>F16/C15</f>
        <v>0</v>
      </c>
      <c r="H16" s="6">
        <f t="shared" si="1"/>
        <v>12100000</v>
      </c>
      <c r="I16" s="5">
        <f t="shared" si="2"/>
        <v>1</v>
      </c>
    </row>
    <row r="17" spans="1:9">
      <c r="A17" s="409" t="s">
        <v>0</v>
      </c>
      <c r="B17" s="404">
        <f>SUM(B5:B16)</f>
        <v>445685566</v>
      </c>
      <c r="C17" s="404">
        <f>SUM(C5:C16)</f>
        <v>455557640</v>
      </c>
      <c r="D17" s="404">
        <f>SUM(D5:D16)</f>
        <v>1619242</v>
      </c>
      <c r="E17" s="406">
        <f>D17/C17</f>
        <v>3.554417394909676E-3</v>
      </c>
      <c r="F17" s="404">
        <f>SUM(F5:F16)</f>
        <v>300361</v>
      </c>
      <c r="G17" s="406">
        <f>F17/C17</f>
        <v>6.5932600757173123E-4</v>
      </c>
      <c r="H17" s="404">
        <f>SUM(H5:H16)</f>
        <v>453638037</v>
      </c>
      <c r="I17" s="407">
        <f t="shared" si="2"/>
        <v>0.99578625659751863</v>
      </c>
    </row>
    <row r="18" spans="1:9">
      <c r="A18" s="477"/>
      <c r="B18" s="478"/>
      <c r="C18" s="478"/>
      <c r="D18" s="478"/>
      <c r="E18" s="479"/>
      <c r="F18" s="478"/>
      <c r="G18" s="479"/>
      <c r="H18" s="478"/>
      <c r="I18" s="480"/>
    </row>
  </sheetData>
  <pageMargins left="0.7" right="0.7" top="0.75" bottom="0.75" header="0.3" footer="0.3"/>
  <pageSetup paperSize="5" orientation="landscape" verticalDpi="599"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5"/>
  <sheetViews>
    <sheetView topLeftCell="A19" zoomScale="90" zoomScaleNormal="90" workbookViewId="0">
      <selection activeCell="N11" sqref="N11"/>
    </sheetView>
  </sheetViews>
  <sheetFormatPr defaultRowHeight="15"/>
  <cols>
    <col min="10" max="10" width="12.140625" customWidth="1"/>
    <col min="11" max="11" width="14.42578125" customWidth="1"/>
    <col min="12" max="12" width="15.7109375" customWidth="1"/>
    <col min="13" max="13" width="16.42578125" customWidth="1"/>
    <col min="14" max="14" width="15.5703125" customWidth="1"/>
    <col min="15" max="15" width="14.42578125" customWidth="1"/>
    <col min="16" max="16" width="13.7109375" customWidth="1"/>
    <col min="17" max="17" width="16.42578125" customWidth="1"/>
    <col min="18" max="18" width="15.140625" customWidth="1"/>
    <col min="19" max="19" width="13.7109375" customWidth="1"/>
    <col min="20" max="20" width="23.28515625" customWidth="1"/>
    <col min="21" max="21" width="11.7109375" customWidth="1"/>
  </cols>
  <sheetData>
    <row r="1" spans="1:21" ht="39" customHeight="1">
      <c r="A1" s="411"/>
      <c r="B1" s="412"/>
      <c r="C1" s="413"/>
      <c r="D1" s="413"/>
      <c r="E1" s="413"/>
      <c r="F1" s="413"/>
      <c r="G1" s="413"/>
      <c r="H1" s="413"/>
      <c r="I1" s="414" t="s">
        <v>830</v>
      </c>
      <c r="J1" s="591" t="s">
        <v>831</v>
      </c>
      <c r="K1" s="592"/>
      <c r="L1" s="593" t="s">
        <v>1218</v>
      </c>
      <c r="M1" s="595"/>
      <c r="N1" s="415"/>
      <c r="O1" s="416"/>
      <c r="P1" s="417"/>
      <c r="Q1" s="417"/>
      <c r="R1" s="418"/>
      <c r="S1" s="418"/>
      <c r="T1" s="418"/>
      <c r="U1" s="419" t="s">
        <v>833</v>
      </c>
    </row>
    <row r="2" spans="1:21" ht="39" customHeight="1">
      <c r="A2" s="420"/>
      <c r="B2" s="421"/>
      <c r="C2" s="422"/>
      <c r="D2" s="422"/>
      <c r="E2" s="422"/>
      <c r="F2" s="422"/>
      <c r="G2" s="422"/>
      <c r="H2" s="422"/>
      <c r="I2" s="423" t="s">
        <v>19</v>
      </c>
      <c r="J2" s="597">
        <v>43024</v>
      </c>
      <c r="K2" s="597"/>
      <c r="L2" s="594"/>
      <c r="M2" s="596"/>
      <c r="N2" s="424"/>
      <c r="O2" s="421"/>
      <c r="P2" s="421"/>
      <c r="Q2" s="425"/>
      <c r="R2" s="426"/>
      <c r="S2" s="426"/>
      <c r="T2" s="426"/>
      <c r="U2" s="427"/>
    </row>
    <row r="3" spans="1:21" ht="39" customHeight="1">
      <c r="A3" s="598" t="s">
        <v>834</v>
      </c>
      <c r="B3" s="599"/>
      <c r="C3" s="599"/>
      <c r="D3" s="599"/>
      <c r="E3" s="599"/>
      <c r="F3" s="599"/>
      <c r="G3" s="599"/>
      <c r="H3" s="599"/>
      <c r="I3" s="423" t="s">
        <v>20</v>
      </c>
      <c r="J3" s="600" t="s">
        <v>835</v>
      </c>
      <c r="K3" s="601"/>
      <c r="L3" s="594"/>
      <c r="M3" s="596"/>
      <c r="N3" s="424"/>
      <c r="O3" s="421"/>
      <c r="P3" s="421"/>
      <c r="Q3" s="425"/>
      <c r="R3" s="426"/>
      <c r="S3" s="426"/>
      <c r="T3" s="426"/>
      <c r="U3" s="427"/>
    </row>
    <row r="4" spans="1:21" ht="39" customHeight="1">
      <c r="A4" s="428"/>
      <c r="B4" s="429"/>
      <c r="C4" s="430"/>
      <c r="D4" s="430"/>
      <c r="E4" s="430"/>
      <c r="F4" s="430"/>
      <c r="G4" s="430"/>
      <c r="H4" s="430"/>
      <c r="I4" s="431"/>
      <c r="J4" s="432"/>
      <c r="K4" s="433"/>
      <c r="L4" s="434"/>
      <c r="M4" s="435"/>
      <c r="N4" s="436"/>
      <c r="O4" s="437"/>
      <c r="P4" s="429"/>
      <c r="Q4" s="438"/>
      <c r="R4" s="439"/>
      <c r="S4" s="439"/>
      <c r="T4" s="439"/>
      <c r="U4" s="433"/>
    </row>
    <row r="5" spans="1:21" ht="15.75">
      <c r="A5" s="440"/>
      <c r="B5" s="441"/>
      <c r="C5" s="441"/>
      <c r="D5" s="441"/>
      <c r="E5" s="441"/>
      <c r="F5" s="441"/>
      <c r="G5" s="441"/>
      <c r="H5" s="441"/>
      <c r="I5" s="582" t="s">
        <v>22</v>
      </c>
      <c r="J5" s="584" t="s">
        <v>23</v>
      </c>
      <c r="K5" s="573" t="s">
        <v>24</v>
      </c>
      <c r="L5" s="585" t="s">
        <v>25</v>
      </c>
      <c r="M5" s="586" t="s">
        <v>836</v>
      </c>
      <c r="N5" s="588" t="s">
        <v>837</v>
      </c>
      <c r="O5" s="572" t="s">
        <v>26</v>
      </c>
      <c r="P5" s="575" t="s">
        <v>27</v>
      </c>
      <c r="Q5" s="578" t="s">
        <v>838</v>
      </c>
      <c r="R5" s="579" t="s">
        <v>13</v>
      </c>
      <c r="S5" s="579" t="s">
        <v>11</v>
      </c>
      <c r="T5" s="579" t="s">
        <v>9</v>
      </c>
      <c r="U5" s="566" t="s">
        <v>839</v>
      </c>
    </row>
    <row r="6" spans="1:21" ht="15.75">
      <c r="A6" s="440"/>
      <c r="B6" s="441"/>
      <c r="C6" s="441"/>
      <c r="D6" s="441"/>
      <c r="E6" s="441"/>
      <c r="F6" s="441"/>
      <c r="G6" s="441"/>
      <c r="H6" s="441"/>
      <c r="I6" s="583"/>
      <c r="J6" s="578"/>
      <c r="K6" s="573"/>
      <c r="L6" s="585"/>
      <c r="M6" s="587"/>
      <c r="N6" s="589"/>
      <c r="O6" s="573"/>
      <c r="P6" s="576"/>
      <c r="Q6" s="578"/>
      <c r="R6" s="580"/>
      <c r="S6" s="580"/>
      <c r="T6" s="580"/>
      <c r="U6" s="567"/>
    </row>
    <row r="7" spans="1:21" ht="63">
      <c r="A7" s="442" t="s">
        <v>840</v>
      </c>
      <c r="B7" s="443" t="s">
        <v>841</v>
      </c>
      <c r="C7" s="443" t="s">
        <v>842</v>
      </c>
      <c r="D7" s="443" t="s">
        <v>843</v>
      </c>
      <c r="E7" s="443" t="s">
        <v>844</v>
      </c>
      <c r="F7" s="443" t="s">
        <v>845</v>
      </c>
      <c r="G7" s="443" t="s">
        <v>846</v>
      </c>
      <c r="H7" s="443" t="s">
        <v>847</v>
      </c>
      <c r="I7" s="583"/>
      <c r="J7" s="578"/>
      <c r="K7" s="574"/>
      <c r="L7" s="585"/>
      <c r="M7" s="587"/>
      <c r="N7" s="590"/>
      <c r="O7" s="574"/>
      <c r="P7" s="577"/>
      <c r="Q7" s="578"/>
      <c r="R7" s="581"/>
      <c r="S7" s="581"/>
      <c r="T7" s="581"/>
      <c r="U7" s="568"/>
    </row>
    <row r="8" spans="1:21" ht="75">
      <c r="A8" s="444">
        <v>1</v>
      </c>
      <c r="B8" s="445"/>
      <c r="C8" s="446"/>
      <c r="D8" s="446"/>
      <c r="E8" s="446"/>
      <c r="F8" s="446"/>
      <c r="G8" s="446"/>
      <c r="H8" s="446"/>
      <c r="I8" s="463" t="s">
        <v>1219</v>
      </c>
      <c r="J8" s="464" t="s">
        <v>1220</v>
      </c>
      <c r="K8" s="449" t="s">
        <v>1221</v>
      </c>
      <c r="L8" s="450" t="s">
        <v>852</v>
      </c>
      <c r="M8" s="465">
        <v>285714.28571428568</v>
      </c>
      <c r="N8" s="452">
        <f t="shared" ref="N8:N20" si="0">M8</f>
        <v>285714.28571428568</v>
      </c>
      <c r="O8" s="453" t="s">
        <v>101</v>
      </c>
      <c r="P8" s="455">
        <v>0</v>
      </c>
      <c r="Q8" s="455">
        <v>0</v>
      </c>
      <c r="R8" s="386">
        <v>0</v>
      </c>
      <c r="S8" s="386">
        <v>0</v>
      </c>
      <c r="T8" s="386">
        <f t="shared" ref="T8:T22" si="1">N8-R8-S8</f>
        <v>285714.28571428568</v>
      </c>
      <c r="U8" s="466"/>
    </row>
    <row r="9" spans="1:21" ht="90">
      <c r="A9" s="444">
        <f t="shared" ref="A9:A22" si="2">A8+1</f>
        <v>2</v>
      </c>
      <c r="B9" s="445"/>
      <c r="C9" s="446"/>
      <c r="D9" s="446"/>
      <c r="E9" s="446"/>
      <c r="F9" s="446"/>
      <c r="G9" s="446"/>
      <c r="H9" s="446"/>
      <c r="I9" s="463">
        <v>23470418605</v>
      </c>
      <c r="J9" s="464" t="s">
        <v>1222</v>
      </c>
      <c r="K9" s="449" t="s">
        <v>1221</v>
      </c>
      <c r="L9" s="450" t="s">
        <v>852</v>
      </c>
      <c r="M9" s="465">
        <v>285714.28571428568</v>
      </c>
      <c r="N9" s="452">
        <f t="shared" si="0"/>
        <v>285714.28571428568</v>
      </c>
      <c r="O9" s="453" t="s">
        <v>101</v>
      </c>
      <c r="P9" s="455">
        <v>0</v>
      </c>
      <c r="Q9" s="455">
        <v>0</v>
      </c>
      <c r="R9" s="386">
        <v>0</v>
      </c>
      <c r="S9" s="386">
        <v>0</v>
      </c>
      <c r="T9" s="386">
        <f t="shared" si="1"/>
        <v>285714.28571428568</v>
      </c>
      <c r="U9" s="466"/>
    </row>
    <row r="10" spans="1:21" ht="75">
      <c r="A10" s="444">
        <f t="shared" si="2"/>
        <v>3</v>
      </c>
      <c r="B10" s="445"/>
      <c r="C10" s="446"/>
      <c r="D10" s="446"/>
      <c r="E10" s="446"/>
      <c r="F10" s="446"/>
      <c r="G10" s="446"/>
      <c r="H10" s="446"/>
      <c r="I10" s="463">
        <v>21470418607</v>
      </c>
      <c r="J10" s="464" t="s">
        <v>1223</v>
      </c>
      <c r="K10" s="449" t="s">
        <v>1221</v>
      </c>
      <c r="L10" s="450" t="s">
        <v>852</v>
      </c>
      <c r="M10" s="465">
        <v>457142.85714285716</v>
      </c>
      <c r="N10" s="452">
        <f t="shared" si="0"/>
        <v>457142.85714285716</v>
      </c>
      <c r="O10" s="453" t="s">
        <v>101</v>
      </c>
      <c r="P10" s="455">
        <v>0</v>
      </c>
      <c r="Q10" s="455">
        <v>0</v>
      </c>
      <c r="R10" s="386">
        <v>0</v>
      </c>
      <c r="S10" s="386">
        <v>0</v>
      </c>
      <c r="T10" s="386">
        <f t="shared" si="1"/>
        <v>457142.85714285716</v>
      </c>
      <c r="U10" s="466"/>
    </row>
    <row r="11" spans="1:21" ht="75">
      <c r="A11" s="444">
        <f t="shared" si="2"/>
        <v>4</v>
      </c>
      <c r="B11" s="445"/>
      <c r="C11" s="446"/>
      <c r="D11" s="446"/>
      <c r="E11" s="446"/>
      <c r="F11" s="446"/>
      <c r="G11" s="446"/>
      <c r="H11" s="446"/>
      <c r="I11" s="463">
        <v>20470418604</v>
      </c>
      <c r="J11" s="464" t="s">
        <v>1224</v>
      </c>
      <c r="K11" s="449" t="s">
        <v>1221</v>
      </c>
      <c r="L11" s="450" t="s">
        <v>852</v>
      </c>
      <c r="M11" s="465">
        <v>571428.57142857136</v>
      </c>
      <c r="N11" s="452">
        <f t="shared" si="0"/>
        <v>571428.57142857136</v>
      </c>
      <c r="O11" s="453" t="s">
        <v>101</v>
      </c>
      <c r="P11" s="455">
        <v>0</v>
      </c>
      <c r="Q11" s="455">
        <v>0</v>
      </c>
      <c r="R11" s="386">
        <v>0</v>
      </c>
      <c r="S11" s="386">
        <v>0</v>
      </c>
      <c r="T11" s="386">
        <f t="shared" si="1"/>
        <v>571428.57142857136</v>
      </c>
      <c r="U11" s="466"/>
    </row>
    <row r="12" spans="1:21" ht="75">
      <c r="A12" s="444">
        <f t="shared" si="2"/>
        <v>5</v>
      </c>
      <c r="B12" s="445"/>
      <c r="C12" s="446"/>
      <c r="D12" s="446"/>
      <c r="E12" s="446"/>
      <c r="F12" s="446"/>
      <c r="G12" s="446"/>
      <c r="H12" s="446"/>
      <c r="I12" s="463" t="s">
        <v>1225</v>
      </c>
      <c r="J12" s="464" t="s">
        <v>1226</v>
      </c>
      <c r="K12" s="449" t="s">
        <v>1221</v>
      </c>
      <c r="L12" s="450" t="s">
        <v>852</v>
      </c>
      <c r="M12" s="465">
        <v>285714.28571428568</v>
      </c>
      <c r="N12" s="452">
        <f t="shared" si="0"/>
        <v>285714.28571428568</v>
      </c>
      <c r="O12" s="453" t="s">
        <v>101</v>
      </c>
      <c r="P12" s="455">
        <v>0</v>
      </c>
      <c r="Q12" s="455">
        <v>0</v>
      </c>
      <c r="R12" s="386">
        <v>0</v>
      </c>
      <c r="S12" s="386">
        <v>0</v>
      </c>
      <c r="T12" s="386">
        <f t="shared" si="1"/>
        <v>285714.28571428568</v>
      </c>
      <c r="U12" s="466"/>
    </row>
    <row r="13" spans="1:21" ht="75">
      <c r="A13" s="444">
        <f t="shared" si="2"/>
        <v>6</v>
      </c>
      <c r="B13" s="445"/>
      <c r="C13" s="446"/>
      <c r="D13" s="446"/>
      <c r="E13" s="446"/>
      <c r="F13" s="446"/>
      <c r="G13" s="446"/>
      <c r="H13" s="446"/>
      <c r="I13" s="463" t="s">
        <v>1227</v>
      </c>
      <c r="J13" s="464" t="s">
        <v>1226</v>
      </c>
      <c r="K13" s="449" t="s">
        <v>1221</v>
      </c>
      <c r="L13" s="450" t="s">
        <v>852</v>
      </c>
      <c r="M13" s="467">
        <v>285714.28571428568</v>
      </c>
      <c r="N13" s="452">
        <f>M13</f>
        <v>285714.28571428568</v>
      </c>
      <c r="O13" s="453" t="s">
        <v>101</v>
      </c>
      <c r="P13" s="455">
        <v>0</v>
      </c>
      <c r="Q13" s="455">
        <v>0</v>
      </c>
      <c r="R13" s="386">
        <v>0</v>
      </c>
      <c r="S13" s="386">
        <v>0</v>
      </c>
      <c r="T13" s="386">
        <f t="shared" si="1"/>
        <v>285714.28571428568</v>
      </c>
      <c r="U13" s="466"/>
    </row>
    <row r="14" spans="1:21" ht="75">
      <c r="A14" s="444">
        <f t="shared" si="2"/>
        <v>7</v>
      </c>
      <c r="B14" s="445"/>
      <c r="C14" s="446"/>
      <c r="D14" s="446"/>
      <c r="E14" s="446"/>
      <c r="F14" s="446"/>
      <c r="G14" s="446"/>
      <c r="H14" s="446"/>
      <c r="I14" s="463">
        <v>17470418606</v>
      </c>
      <c r="J14" s="464" t="s">
        <v>1228</v>
      </c>
      <c r="K14" s="449" t="s">
        <v>1221</v>
      </c>
      <c r="L14" s="450" t="s">
        <v>852</v>
      </c>
      <c r="M14" s="465">
        <v>457142.85714285716</v>
      </c>
      <c r="N14" s="452">
        <f t="shared" si="0"/>
        <v>457142.85714285716</v>
      </c>
      <c r="O14" s="453" t="s">
        <v>101</v>
      </c>
      <c r="P14" s="455">
        <v>0</v>
      </c>
      <c r="Q14" s="455">
        <v>0</v>
      </c>
      <c r="R14" s="386">
        <v>0</v>
      </c>
      <c r="S14" s="386">
        <v>0</v>
      </c>
      <c r="T14" s="386">
        <f t="shared" si="1"/>
        <v>457142.85714285716</v>
      </c>
      <c r="U14" s="466"/>
    </row>
    <row r="15" spans="1:21" ht="75">
      <c r="A15" s="444">
        <f t="shared" si="2"/>
        <v>8</v>
      </c>
      <c r="B15" s="445"/>
      <c r="C15" s="446"/>
      <c r="D15" s="446"/>
      <c r="E15" s="446"/>
      <c r="F15" s="446"/>
      <c r="G15" s="446"/>
      <c r="H15" s="446"/>
      <c r="I15" s="463">
        <v>14470418603</v>
      </c>
      <c r="J15" s="464" t="s">
        <v>1229</v>
      </c>
      <c r="K15" s="449" t="s">
        <v>1221</v>
      </c>
      <c r="L15" s="450" t="s">
        <v>852</v>
      </c>
      <c r="M15" s="465">
        <v>514285.71428571432</v>
      </c>
      <c r="N15" s="452">
        <f>M15</f>
        <v>514285.71428571432</v>
      </c>
      <c r="O15" s="453" t="s">
        <v>101</v>
      </c>
      <c r="P15" s="455">
        <v>0</v>
      </c>
      <c r="Q15" s="455">
        <v>0</v>
      </c>
      <c r="R15" s="386">
        <v>0</v>
      </c>
      <c r="S15" s="386">
        <v>0</v>
      </c>
      <c r="T15" s="386">
        <f t="shared" si="1"/>
        <v>514285.71428571432</v>
      </c>
      <c r="U15" s="466"/>
    </row>
    <row r="16" spans="1:21" ht="75">
      <c r="A16" s="444">
        <f t="shared" si="2"/>
        <v>9</v>
      </c>
      <c r="B16" s="445"/>
      <c r="C16" s="446"/>
      <c r="D16" s="446"/>
      <c r="E16" s="446"/>
      <c r="F16" s="446"/>
      <c r="G16" s="446"/>
      <c r="H16" s="446"/>
      <c r="I16" s="463">
        <v>14470418602</v>
      </c>
      <c r="J16" s="464" t="s">
        <v>1229</v>
      </c>
      <c r="K16" s="449" t="s">
        <v>1221</v>
      </c>
      <c r="L16" s="450" t="s">
        <v>852</v>
      </c>
      <c r="M16" s="465">
        <v>514285.71428571432</v>
      </c>
      <c r="N16" s="452">
        <f>M16</f>
        <v>514285.71428571432</v>
      </c>
      <c r="O16" s="453" t="s">
        <v>101</v>
      </c>
      <c r="P16" s="455">
        <v>0</v>
      </c>
      <c r="Q16" s="455">
        <v>0</v>
      </c>
      <c r="R16" s="386">
        <v>0</v>
      </c>
      <c r="S16" s="386">
        <v>0</v>
      </c>
      <c r="T16" s="386">
        <f t="shared" si="1"/>
        <v>514285.71428571432</v>
      </c>
      <c r="U16" s="466"/>
    </row>
    <row r="17" spans="1:21" ht="75">
      <c r="A17" s="444">
        <f t="shared" si="2"/>
        <v>10</v>
      </c>
      <c r="B17" s="445"/>
      <c r="C17" s="446"/>
      <c r="D17" s="446"/>
      <c r="E17" s="446"/>
      <c r="F17" s="446"/>
      <c r="G17" s="446"/>
      <c r="H17" s="446"/>
      <c r="I17" s="463">
        <v>14470418601</v>
      </c>
      <c r="J17" s="464" t="s">
        <v>1229</v>
      </c>
      <c r="K17" s="449" t="s">
        <v>1221</v>
      </c>
      <c r="L17" s="450" t="s">
        <v>852</v>
      </c>
      <c r="M17" s="467">
        <v>514285.71428571432</v>
      </c>
      <c r="N17" s="452">
        <f>M17</f>
        <v>514285.71428571432</v>
      </c>
      <c r="O17" s="453" t="s">
        <v>101</v>
      </c>
      <c r="P17" s="455">
        <v>0</v>
      </c>
      <c r="Q17" s="455">
        <v>0</v>
      </c>
      <c r="R17" s="386">
        <v>0</v>
      </c>
      <c r="S17" s="386">
        <v>0</v>
      </c>
      <c r="T17" s="386">
        <f t="shared" si="1"/>
        <v>514285.71428571432</v>
      </c>
      <c r="U17" s="466"/>
    </row>
    <row r="18" spans="1:21" ht="90">
      <c r="A18" s="444">
        <f t="shared" si="2"/>
        <v>11</v>
      </c>
      <c r="B18" s="445"/>
      <c r="C18" s="446"/>
      <c r="D18" s="446"/>
      <c r="E18" s="446"/>
      <c r="F18" s="446"/>
      <c r="G18" s="446"/>
      <c r="H18" s="446"/>
      <c r="I18" s="463" t="s">
        <v>1230</v>
      </c>
      <c r="J18" s="464" t="s">
        <v>1231</v>
      </c>
      <c r="K18" s="449" t="s">
        <v>1221</v>
      </c>
      <c r="L18" s="450" t="s">
        <v>852</v>
      </c>
      <c r="M18" s="465">
        <v>457142.85714285716</v>
      </c>
      <c r="N18" s="452">
        <f>M18</f>
        <v>457142.85714285716</v>
      </c>
      <c r="O18" s="453" t="s">
        <v>101</v>
      </c>
      <c r="P18" s="455">
        <v>0</v>
      </c>
      <c r="Q18" s="455">
        <v>0</v>
      </c>
      <c r="R18" s="386">
        <v>0</v>
      </c>
      <c r="S18" s="386">
        <v>0</v>
      </c>
      <c r="T18" s="386">
        <f t="shared" si="1"/>
        <v>457142.85714285716</v>
      </c>
      <c r="U18" s="466"/>
    </row>
    <row r="19" spans="1:21" ht="75">
      <c r="A19" s="444">
        <f t="shared" si="2"/>
        <v>12</v>
      </c>
      <c r="B19" s="445"/>
      <c r="C19" s="446"/>
      <c r="D19" s="446"/>
      <c r="E19" s="446"/>
      <c r="F19" s="446"/>
      <c r="G19" s="446"/>
      <c r="H19" s="446"/>
      <c r="I19" s="463" t="s">
        <v>1232</v>
      </c>
      <c r="J19" s="464" t="s">
        <v>1233</v>
      </c>
      <c r="K19" s="449" t="s">
        <v>1221</v>
      </c>
      <c r="L19" s="450" t="s">
        <v>852</v>
      </c>
      <c r="M19" s="467">
        <v>285714.28571428568</v>
      </c>
      <c r="N19" s="452">
        <f>M19</f>
        <v>285714.28571428568</v>
      </c>
      <c r="O19" s="453" t="s">
        <v>101</v>
      </c>
      <c r="P19" s="455">
        <v>0</v>
      </c>
      <c r="Q19" s="455">
        <v>0</v>
      </c>
      <c r="R19" s="386">
        <v>0</v>
      </c>
      <c r="S19" s="386">
        <v>0</v>
      </c>
      <c r="T19" s="386">
        <f t="shared" si="1"/>
        <v>285714.28571428568</v>
      </c>
      <c r="U19" s="466"/>
    </row>
    <row r="20" spans="1:21" ht="75">
      <c r="A20" s="444">
        <f t="shared" si="2"/>
        <v>13</v>
      </c>
      <c r="B20" s="445"/>
      <c r="C20" s="446"/>
      <c r="D20" s="446"/>
      <c r="E20" s="446"/>
      <c r="F20" s="446"/>
      <c r="G20" s="446"/>
      <c r="H20" s="446"/>
      <c r="I20" s="463" t="s">
        <v>1234</v>
      </c>
      <c r="J20" s="464" t="s">
        <v>1235</v>
      </c>
      <c r="K20" s="449" t="s">
        <v>1221</v>
      </c>
      <c r="L20" s="450" t="s">
        <v>852</v>
      </c>
      <c r="M20" s="467">
        <v>514285.71428571432</v>
      </c>
      <c r="N20" s="452">
        <f t="shared" si="0"/>
        <v>514285.71428571432</v>
      </c>
      <c r="O20" s="453" t="s">
        <v>101</v>
      </c>
      <c r="P20" s="455">
        <v>0</v>
      </c>
      <c r="Q20" s="455">
        <v>0</v>
      </c>
      <c r="R20" s="386">
        <v>0</v>
      </c>
      <c r="S20" s="386">
        <v>0</v>
      </c>
      <c r="T20" s="386">
        <f t="shared" si="1"/>
        <v>514285.71428571432</v>
      </c>
      <c r="U20" s="466"/>
    </row>
    <row r="21" spans="1:21" ht="90">
      <c r="A21" s="444">
        <f t="shared" si="2"/>
        <v>14</v>
      </c>
      <c r="B21" s="445"/>
      <c r="C21" s="446"/>
      <c r="D21" s="446"/>
      <c r="E21" s="446"/>
      <c r="F21" s="446"/>
      <c r="G21" s="446"/>
      <c r="H21" s="446"/>
      <c r="I21" s="463" t="s">
        <v>1236</v>
      </c>
      <c r="J21" s="464" t="s">
        <v>1237</v>
      </c>
      <c r="K21" s="449" t="s">
        <v>1221</v>
      </c>
      <c r="L21" s="450" t="s">
        <v>852</v>
      </c>
      <c r="M21" s="465">
        <v>285714.28571428568</v>
      </c>
      <c r="N21" s="452">
        <f>M21</f>
        <v>285714.28571428568</v>
      </c>
      <c r="O21" s="453" t="s">
        <v>101</v>
      </c>
      <c r="P21" s="455">
        <v>0</v>
      </c>
      <c r="Q21" s="455">
        <v>0</v>
      </c>
      <c r="R21" s="386">
        <v>0</v>
      </c>
      <c r="S21" s="386">
        <v>0</v>
      </c>
      <c r="T21" s="386">
        <f t="shared" si="1"/>
        <v>285714.28571428568</v>
      </c>
      <c r="U21" s="466"/>
    </row>
    <row r="22" spans="1:21" ht="90">
      <c r="A22" s="444">
        <f t="shared" si="2"/>
        <v>15</v>
      </c>
      <c r="B22" s="445"/>
      <c r="C22" s="446"/>
      <c r="D22" s="446"/>
      <c r="E22" s="446"/>
      <c r="F22" s="446"/>
      <c r="G22" s="446"/>
      <c r="H22" s="446"/>
      <c r="I22" s="463" t="s">
        <v>1238</v>
      </c>
      <c r="J22" s="464" t="s">
        <v>1237</v>
      </c>
      <c r="K22" s="449" t="s">
        <v>1221</v>
      </c>
      <c r="L22" s="450" t="s">
        <v>852</v>
      </c>
      <c r="M22" s="465">
        <v>285714.28571428568</v>
      </c>
      <c r="N22" s="452">
        <f>M22</f>
        <v>285714.28571428568</v>
      </c>
      <c r="O22" s="453" t="s">
        <v>101</v>
      </c>
      <c r="P22" s="455">
        <v>0</v>
      </c>
      <c r="Q22" s="455">
        <v>0</v>
      </c>
      <c r="R22" s="386">
        <v>0</v>
      </c>
      <c r="S22" s="386">
        <v>0</v>
      </c>
      <c r="T22" s="386">
        <f t="shared" si="1"/>
        <v>285714.28571428568</v>
      </c>
      <c r="U22" s="466"/>
    </row>
    <row r="23" spans="1:21">
      <c r="A23" s="444"/>
      <c r="B23" s="445"/>
      <c r="C23" s="446"/>
      <c r="D23" s="446"/>
      <c r="E23" s="446"/>
      <c r="F23" s="446"/>
      <c r="G23" s="446"/>
      <c r="H23" s="446"/>
      <c r="I23" s="468"/>
      <c r="J23" s="469"/>
      <c r="K23" s="449"/>
      <c r="L23" s="450"/>
      <c r="M23" s="452">
        <f>SUM(M8:M22)</f>
        <v>6000000</v>
      </c>
      <c r="N23" s="452">
        <f>SUM(N8:N22)</f>
        <v>6000000</v>
      </c>
      <c r="O23" s="453"/>
      <c r="P23" s="454"/>
      <c r="Q23" s="455"/>
      <c r="R23" s="452">
        <f>SUM(R8:R22)</f>
        <v>0</v>
      </c>
      <c r="S23" s="452">
        <f>SUM(S8:S22)</f>
        <v>0</v>
      </c>
      <c r="T23" s="452">
        <f>SUM(T8:T22)</f>
        <v>6000000</v>
      </c>
      <c r="U23" s="456"/>
    </row>
    <row r="24" spans="1:21" ht="15.75">
      <c r="A24" s="425"/>
      <c r="B24" s="425"/>
      <c r="C24" s="470"/>
      <c r="D24" s="470"/>
      <c r="E24" s="470"/>
      <c r="F24" s="470"/>
      <c r="G24" s="470"/>
      <c r="H24" s="470"/>
      <c r="I24" s="471"/>
      <c r="J24" s="425"/>
      <c r="K24" s="472"/>
      <c r="L24" s="425"/>
      <c r="M24" s="473"/>
      <c r="N24" s="474"/>
      <c r="O24" s="475"/>
      <c r="P24" s="425"/>
      <c r="Q24" s="425"/>
      <c r="R24" s="476"/>
      <c r="S24" s="476"/>
      <c r="T24" s="476"/>
      <c r="U24" s="470"/>
    </row>
    <row r="25" spans="1:21" ht="45">
      <c r="A25" s="444" t="s">
        <v>1239</v>
      </c>
      <c r="B25" s="445"/>
      <c r="C25" s="446"/>
      <c r="D25" s="446"/>
      <c r="E25" s="446"/>
      <c r="F25" s="446"/>
      <c r="G25" s="446"/>
      <c r="H25" s="446"/>
      <c r="I25" s="463" t="s">
        <v>1240</v>
      </c>
      <c r="J25" s="464" t="s">
        <v>1241</v>
      </c>
      <c r="K25" s="449" t="s">
        <v>1221</v>
      </c>
      <c r="L25" s="450" t="s">
        <v>852</v>
      </c>
      <c r="M25" s="465">
        <v>30000000</v>
      </c>
      <c r="N25" s="452">
        <v>30000000</v>
      </c>
      <c r="O25" s="453" t="s">
        <v>101</v>
      </c>
      <c r="P25" s="455">
        <v>0</v>
      </c>
      <c r="Q25" s="455">
        <v>0</v>
      </c>
      <c r="R25" s="386">
        <v>0</v>
      </c>
      <c r="S25" s="386">
        <v>0</v>
      </c>
      <c r="T25" s="386">
        <f t="shared" ref="T25" si="3">N25-R25-S25</f>
        <v>30000000</v>
      </c>
      <c r="U25" s="466"/>
    </row>
  </sheetData>
  <mergeCells count="19">
    <mergeCell ref="A3:H3"/>
    <mergeCell ref="J3:K3"/>
    <mergeCell ref="N5:N7"/>
    <mergeCell ref="J1:K1"/>
    <mergeCell ref="L1:L3"/>
    <mergeCell ref="M1:M3"/>
    <mergeCell ref="J2:K2"/>
    <mergeCell ref="I5:I7"/>
    <mergeCell ref="J5:J7"/>
    <mergeCell ref="K5:K7"/>
    <mergeCell ref="L5:L7"/>
    <mergeCell ref="M5:M7"/>
    <mergeCell ref="U5:U7"/>
    <mergeCell ref="O5:O7"/>
    <mergeCell ref="P5:P7"/>
    <mergeCell ref="Q5:Q7"/>
    <mergeCell ref="R5:R7"/>
    <mergeCell ref="S5:S7"/>
    <mergeCell ref="T5:T7"/>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opLeftCell="A4" zoomScale="80" zoomScaleNormal="80" workbookViewId="0">
      <selection activeCell="M9" sqref="M9"/>
    </sheetView>
  </sheetViews>
  <sheetFormatPr defaultRowHeight="15"/>
  <cols>
    <col min="1" max="1" width="9.140625" style="29"/>
    <col min="2" max="2" width="15.7109375" style="29" customWidth="1"/>
    <col min="3" max="3" width="17.42578125" style="29" customWidth="1"/>
    <col min="4" max="4" width="34.28515625" style="29" customWidth="1"/>
    <col min="5" max="5" width="22.42578125" style="29" customWidth="1"/>
    <col min="6" max="6" width="17.7109375" style="29" customWidth="1"/>
    <col min="7" max="7" width="19.28515625" style="29" customWidth="1"/>
    <col min="8" max="8" width="15.7109375" style="29" customWidth="1"/>
    <col min="9" max="9" width="14.42578125" style="29" customWidth="1"/>
    <col min="10" max="11" width="16.42578125" style="29" customWidth="1"/>
    <col min="12" max="12" width="14" style="29" customWidth="1"/>
    <col min="13" max="13" width="15.5703125" style="29" customWidth="1"/>
    <col min="14" max="16384" width="9.140625" style="29"/>
  </cols>
  <sheetData>
    <row r="1" spans="1:14" ht="15.75">
      <c r="B1" s="20" t="s">
        <v>17</v>
      </c>
      <c r="C1" s="537" t="s">
        <v>55</v>
      </c>
      <c r="D1" s="538"/>
      <c r="E1" s="21"/>
      <c r="I1" s="73"/>
    </row>
    <row r="2" spans="1:14" ht="15.75">
      <c r="B2" s="20" t="s">
        <v>19</v>
      </c>
      <c r="C2" s="607">
        <v>43004</v>
      </c>
      <c r="D2" s="608"/>
      <c r="E2" s="23"/>
      <c r="G2" s="73"/>
      <c r="H2" s="74"/>
      <c r="I2" s="73"/>
      <c r="J2" s="73"/>
      <c r="M2" s="75"/>
    </row>
    <row r="3" spans="1:14" ht="15.75">
      <c r="B3" s="20" t="s">
        <v>20</v>
      </c>
      <c r="C3" s="537" t="s">
        <v>56</v>
      </c>
      <c r="D3" s="538"/>
      <c r="E3" s="21"/>
    </row>
    <row r="4" spans="1:14" ht="15.75">
      <c r="B4" s="27"/>
      <c r="C4" s="28"/>
    </row>
    <row r="5" spans="1:14" ht="30.75" customHeight="1">
      <c r="A5" s="543" t="s">
        <v>57</v>
      </c>
      <c r="B5" s="547" t="s">
        <v>22</v>
      </c>
      <c r="C5" s="547" t="s">
        <v>23</v>
      </c>
      <c r="D5" s="547" t="s">
        <v>24</v>
      </c>
      <c r="E5" s="547" t="s">
        <v>25</v>
      </c>
      <c r="F5" s="547" t="s">
        <v>15</v>
      </c>
      <c r="G5" s="547" t="s">
        <v>58</v>
      </c>
      <c r="H5" s="543" t="s">
        <v>26</v>
      </c>
      <c r="I5" s="609" t="s">
        <v>27</v>
      </c>
      <c r="J5" s="547" t="s">
        <v>28</v>
      </c>
      <c r="K5" s="543" t="s">
        <v>13</v>
      </c>
      <c r="L5" s="543" t="s">
        <v>11</v>
      </c>
      <c r="M5" s="543" t="s">
        <v>9</v>
      </c>
      <c r="N5" s="543" t="s">
        <v>31</v>
      </c>
    </row>
    <row r="6" spans="1:14" ht="30.75" customHeight="1">
      <c r="A6" s="544"/>
      <c r="B6" s="547"/>
      <c r="C6" s="547"/>
      <c r="D6" s="547"/>
      <c r="E6" s="547"/>
      <c r="F6" s="547"/>
      <c r="G6" s="547"/>
      <c r="H6" s="544"/>
      <c r="I6" s="610"/>
      <c r="J6" s="547"/>
      <c r="K6" s="544"/>
      <c r="L6" s="544"/>
      <c r="M6" s="544"/>
      <c r="N6" s="544"/>
    </row>
    <row r="7" spans="1:14" ht="30.75" customHeight="1">
      <c r="A7" s="545"/>
      <c r="B7" s="547"/>
      <c r="C7" s="547"/>
      <c r="D7" s="547"/>
      <c r="E7" s="547"/>
      <c r="F7" s="547"/>
      <c r="G7" s="547"/>
      <c r="H7" s="545"/>
      <c r="I7" s="611"/>
      <c r="J7" s="547"/>
      <c r="K7" s="545"/>
      <c r="L7" s="545"/>
      <c r="M7" s="545"/>
      <c r="N7" s="545"/>
    </row>
    <row r="8" spans="1:14" ht="75">
      <c r="A8" s="30">
        <v>1</v>
      </c>
      <c r="B8" s="30" t="s">
        <v>59</v>
      </c>
      <c r="C8" s="43" t="s">
        <v>60</v>
      </c>
      <c r="D8" s="31" t="s">
        <v>61</v>
      </c>
      <c r="E8" s="43" t="s">
        <v>62</v>
      </c>
      <c r="F8" s="33">
        <v>1425000</v>
      </c>
      <c r="G8" s="39">
        <v>1425000</v>
      </c>
      <c r="H8" s="76">
        <v>43708</v>
      </c>
      <c r="I8" s="35">
        <v>0</v>
      </c>
      <c r="J8" s="35">
        <v>0</v>
      </c>
      <c r="K8" s="44">
        <v>0</v>
      </c>
      <c r="L8" s="44">
        <v>0</v>
      </c>
      <c r="M8" s="33">
        <f>G8-K8-L8</f>
        <v>1425000</v>
      </c>
      <c r="N8" s="30" t="s">
        <v>63</v>
      </c>
    </row>
    <row r="9" spans="1:14" ht="75">
      <c r="A9" s="30">
        <v>2</v>
      </c>
      <c r="B9" s="30" t="s">
        <v>64</v>
      </c>
      <c r="C9" s="43" t="s">
        <v>65</v>
      </c>
      <c r="D9" s="43" t="s">
        <v>66</v>
      </c>
      <c r="E9" s="43" t="s">
        <v>67</v>
      </c>
      <c r="F9" s="33">
        <v>2000000</v>
      </c>
      <c r="G9" s="39">
        <v>2000000</v>
      </c>
      <c r="H9" s="77"/>
      <c r="I9" s="35"/>
      <c r="J9" s="35"/>
      <c r="K9" s="44">
        <v>1000000</v>
      </c>
      <c r="L9" s="44">
        <v>0</v>
      </c>
      <c r="M9" s="33">
        <f t="shared" ref="M9:M15" si="0">G9-K9-L9</f>
        <v>1000000</v>
      </c>
      <c r="N9" s="30" t="s">
        <v>63</v>
      </c>
    </row>
    <row r="10" spans="1:14" ht="75">
      <c r="A10" s="30">
        <v>3</v>
      </c>
      <c r="B10" s="30" t="s">
        <v>68</v>
      </c>
      <c r="C10" s="31" t="s">
        <v>69</v>
      </c>
      <c r="D10" s="31" t="s">
        <v>70</v>
      </c>
      <c r="E10" s="31" t="s">
        <v>62</v>
      </c>
      <c r="F10" s="33">
        <v>2000000</v>
      </c>
      <c r="G10" s="33">
        <v>2000000</v>
      </c>
      <c r="H10" s="76">
        <v>43708</v>
      </c>
      <c r="I10" s="35">
        <v>0</v>
      </c>
      <c r="J10" s="35">
        <v>0</v>
      </c>
      <c r="K10" s="36">
        <v>0</v>
      </c>
      <c r="L10" s="36">
        <v>0</v>
      </c>
      <c r="M10" s="33">
        <f>G10-K10-L10</f>
        <v>2000000</v>
      </c>
      <c r="N10" s="30" t="s">
        <v>63</v>
      </c>
    </row>
    <row r="11" spans="1:14" ht="60">
      <c r="A11" s="30">
        <v>4</v>
      </c>
      <c r="B11" s="30" t="s">
        <v>71</v>
      </c>
      <c r="C11" s="43" t="s">
        <v>72</v>
      </c>
      <c r="D11" s="43" t="s">
        <v>73</v>
      </c>
      <c r="E11" s="43" t="s">
        <v>62</v>
      </c>
      <c r="F11" s="39">
        <v>102000</v>
      </c>
      <c r="G11" s="39">
        <v>102000</v>
      </c>
      <c r="H11" s="76">
        <v>43343</v>
      </c>
      <c r="I11" s="35">
        <v>0</v>
      </c>
      <c r="J11" s="35">
        <v>0</v>
      </c>
      <c r="K11" s="44">
        <v>0</v>
      </c>
      <c r="L11" s="44">
        <v>0</v>
      </c>
      <c r="M11" s="33">
        <f t="shared" si="0"/>
        <v>102000</v>
      </c>
      <c r="N11" s="30" t="s">
        <v>63</v>
      </c>
    </row>
    <row r="12" spans="1:14" ht="60">
      <c r="A12" s="30">
        <v>5</v>
      </c>
      <c r="B12" s="30" t="s">
        <v>74</v>
      </c>
      <c r="C12" s="43" t="s">
        <v>75</v>
      </c>
      <c r="D12" s="43" t="s">
        <v>76</v>
      </c>
      <c r="E12" s="43" t="s">
        <v>62</v>
      </c>
      <c r="F12" s="39">
        <v>73000</v>
      </c>
      <c r="G12" s="39">
        <v>73000</v>
      </c>
      <c r="H12" s="76">
        <v>43343</v>
      </c>
      <c r="I12" s="35">
        <v>0</v>
      </c>
      <c r="J12" s="35">
        <v>0</v>
      </c>
      <c r="K12" s="44">
        <v>0</v>
      </c>
      <c r="L12" s="44">
        <v>0</v>
      </c>
      <c r="M12" s="33">
        <f t="shared" si="0"/>
        <v>73000</v>
      </c>
      <c r="N12" s="30" t="s">
        <v>63</v>
      </c>
    </row>
    <row r="13" spans="1:14" ht="75">
      <c r="A13" s="30">
        <v>6</v>
      </c>
      <c r="B13" s="30" t="s">
        <v>77</v>
      </c>
      <c r="C13" s="43" t="s">
        <v>60</v>
      </c>
      <c r="D13" s="31" t="s">
        <v>78</v>
      </c>
      <c r="E13" s="43" t="s">
        <v>62</v>
      </c>
      <c r="F13" s="33">
        <v>575000</v>
      </c>
      <c r="G13" s="39">
        <v>575000</v>
      </c>
      <c r="H13" s="76">
        <v>43708</v>
      </c>
      <c r="I13" s="35"/>
      <c r="J13" s="35"/>
      <c r="K13" s="44"/>
      <c r="L13" s="44"/>
      <c r="M13" s="33">
        <f t="shared" si="0"/>
        <v>575000</v>
      </c>
      <c r="N13" s="30" t="s">
        <v>63</v>
      </c>
    </row>
    <row r="14" spans="1:14" ht="60">
      <c r="A14" s="30">
        <v>7</v>
      </c>
      <c r="B14" s="30" t="s">
        <v>79</v>
      </c>
      <c r="C14" s="43" t="s">
        <v>72</v>
      </c>
      <c r="D14" s="43" t="s">
        <v>80</v>
      </c>
      <c r="E14" s="43" t="s">
        <v>62</v>
      </c>
      <c r="F14" s="39">
        <v>102000</v>
      </c>
      <c r="G14" s="39">
        <v>102000</v>
      </c>
      <c r="H14" s="76">
        <v>43708</v>
      </c>
      <c r="I14" s="35">
        <v>0</v>
      </c>
      <c r="J14" s="35">
        <v>0</v>
      </c>
      <c r="K14" s="44">
        <v>0</v>
      </c>
      <c r="L14" s="44">
        <v>0</v>
      </c>
      <c r="M14" s="33">
        <f t="shared" si="0"/>
        <v>102000</v>
      </c>
      <c r="N14" s="30" t="s">
        <v>63</v>
      </c>
    </row>
    <row r="15" spans="1:14" ht="60.75" thickBot="1">
      <c r="A15" s="30">
        <v>8</v>
      </c>
      <c r="B15" s="30" t="s">
        <v>81</v>
      </c>
      <c r="C15" s="43" t="s">
        <v>75</v>
      </c>
      <c r="D15" s="43" t="s">
        <v>82</v>
      </c>
      <c r="E15" s="43" t="s">
        <v>62</v>
      </c>
      <c r="F15" s="39">
        <v>73000</v>
      </c>
      <c r="G15" s="39">
        <v>73000</v>
      </c>
      <c r="H15" s="76">
        <v>43708</v>
      </c>
      <c r="I15" s="35">
        <v>0</v>
      </c>
      <c r="J15" s="35">
        <v>0</v>
      </c>
      <c r="K15" s="44">
        <v>0</v>
      </c>
      <c r="L15" s="44">
        <v>0</v>
      </c>
      <c r="M15" s="33">
        <f t="shared" si="0"/>
        <v>73000</v>
      </c>
      <c r="N15" s="30" t="s">
        <v>63</v>
      </c>
    </row>
    <row r="16" spans="1:14" ht="16.5" thickBot="1">
      <c r="A16" s="73"/>
      <c r="B16" s="78"/>
      <c r="C16" s="73"/>
      <c r="D16" s="73"/>
      <c r="E16" s="79" t="s">
        <v>54</v>
      </c>
      <c r="F16" s="80">
        <f>SUM(F8:F15)</f>
        <v>6350000</v>
      </c>
      <c r="G16" s="80">
        <f>SUM(G8:G15)</f>
        <v>6350000</v>
      </c>
      <c r="H16" s="81"/>
      <c r="I16" s="82"/>
      <c r="J16" s="82"/>
      <c r="K16" s="80">
        <f>SUM(K8:K15)</f>
        <v>1000000</v>
      </c>
      <c r="L16" s="80">
        <f>SUM(L8:L15)</f>
        <v>0</v>
      </c>
      <c r="M16" s="80">
        <f>SUM(M8:M15)</f>
        <v>5350000</v>
      </c>
      <c r="N16" s="81"/>
    </row>
  </sheetData>
  <mergeCells count="17">
    <mergeCell ref="K5:K7"/>
    <mergeCell ref="L5:L7"/>
    <mergeCell ref="M5:M7"/>
    <mergeCell ref="N5:N7"/>
    <mergeCell ref="E5:E7"/>
    <mergeCell ref="F5:F7"/>
    <mergeCell ref="G5:G7"/>
    <mergeCell ref="H5:H7"/>
    <mergeCell ref="I5:I7"/>
    <mergeCell ref="J5:J7"/>
    <mergeCell ref="C1:D1"/>
    <mergeCell ref="C2:D2"/>
    <mergeCell ref="C3:D3"/>
    <mergeCell ref="A5:A7"/>
    <mergeCell ref="B5:B7"/>
    <mergeCell ref="C5:C7"/>
    <mergeCell ref="D5:D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H18" sqref="H18"/>
    </sheetView>
  </sheetViews>
  <sheetFormatPr defaultRowHeight="15"/>
  <sheetData>
    <row r="1" spans="1:14" ht="31.5">
      <c r="B1" s="20" t="s">
        <v>17</v>
      </c>
      <c r="C1" s="537" t="s">
        <v>55</v>
      </c>
      <c r="D1" s="538"/>
      <c r="E1" s="21"/>
      <c r="I1" s="22"/>
    </row>
    <row r="2" spans="1:14" ht="15.75">
      <c r="B2" s="20" t="s">
        <v>19</v>
      </c>
      <c r="C2" s="539">
        <v>43004</v>
      </c>
      <c r="D2" s="540"/>
      <c r="E2" s="23"/>
      <c r="G2" s="22"/>
      <c r="H2" s="24"/>
      <c r="I2" s="22"/>
      <c r="J2" s="22"/>
      <c r="M2" s="127"/>
    </row>
    <row r="3" spans="1:14" ht="31.5">
      <c r="B3" s="20" t="s">
        <v>20</v>
      </c>
      <c r="C3" s="541" t="s">
        <v>56</v>
      </c>
      <c r="D3" s="542"/>
      <c r="E3" s="26"/>
    </row>
    <row r="4" spans="1:14" ht="15.75">
      <c r="B4" s="27"/>
      <c r="C4" s="28"/>
      <c r="D4" s="29"/>
      <c r="E4" s="29"/>
    </row>
    <row r="5" spans="1:14">
      <c r="A5" s="543" t="s">
        <v>57</v>
      </c>
      <c r="B5" s="613" t="s">
        <v>789</v>
      </c>
      <c r="C5" s="614"/>
      <c r="D5" s="614"/>
      <c r="E5" s="614"/>
      <c r="F5" s="614"/>
      <c r="G5" s="614"/>
      <c r="H5" s="614"/>
      <c r="I5" s="614"/>
      <c r="J5" s="614"/>
      <c r="K5" s="614"/>
      <c r="L5" s="614"/>
      <c r="M5" s="614"/>
      <c r="N5" s="615"/>
    </row>
    <row r="6" spans="1:14">
      <c r="A6" s="544"/>
      <c r="B6" s="616"/>
      <c r="C6" s="617"/>
      <c r="D6" s="617"/>
      <c r="E6" s="617"/>
      <c r="F6" s="617"/>
      <c r="G6" s="617"/>
      <c r="H6" s="617"/>
      <c r="I6" s="617"/>
      <c r="J6" s="617"/>
      <c r="K6" s="617"/>
      <c r="L6" s="617"/>
      <c r="M6" s="617"/>
      <c r="N6" s="618"/>
    </row>
    <row r="7" spans="1:14">
      <c r="A7" s="545"/>
      <c r="B7" s="619"/>
      <c r="C7" s="620"/>
      <c r="D7" s="620"/>
      <c r="E7" s="620"/>
      <c r="F7" s="620"/>
      <c r="G7" s="620"/>
      <c r="H7" s="620"/>
      <c r="I7" s="620"/>
      <c r="J7" s="620"/>
      <c r="K7" s="620"/>
      <c r="L7" s="620"/>
      <c r="M7" s="620"/>
      <c r="N7" s="621"/>
    </row>
    <row r="8" spans="1:14">
      <c r="A8" s="30" t="s">
        <v>790</v>
      </c>
      <c r="B8" s="537" t="s">
        <v>791</v>
      </c>
      <c r="C8" s="612"/>
      <c r="D8" s="612"/>
      <c r="E8" s="612"/>
      <c r="F8" s="612"/>
      <c r="G8" s="612"/>
      <c r="H8" s="612"/>
      <c r="I8" s="612"/>
      <c r="J8" s="612"/>
      <c r="K8" s="612"/>
      <c r="L8" s="612"/>
      <c r="M8" s="612"/>
      <c r="N8" s="538"/>
    </row>
    <row r="9" spans="1:14">
      <c r="A9" s="37">
        <v>2</v>
      </c>
      <c r="B9" s="537" t="s">
        <v>792</v>
      </c>
      <c r="C9" s="612"/>
      <c r="D9" s="612"/>
      <c r="E9" s="612"/>
      <c r="F9" s="612"/>
      <c r="G9" s="612"/>
      <c r="H9" s="612"/>
      <c r="I9" s="612"/>
      <c r="J9" s="612"/>
      <c r="K9" s="612"/>
      <c r="L9" s="612"/>
      <c r="M9" s="612"/>
      <c r="N9" s="538"/>
    </row>
    <row r="10" spans="1:14">
      <c r="A10" s="37">
        <v>3</v>
      </c>
      <c r="B10" s="537" t="s">
        <v>793</v>
      </c>
      <c r="C10" s="612"/>
      <c r="D10" s="612"/>
      <c r="E10" s="612"/>
      <c r="F10" s="612"/>
      <c r="G10" s="612"/>
      <c r="H10" s="612"/>
      <c r="I10" s="612"/>
      <c r="J10" s="612"/>
      <c r="K10" s="612"/>
      <c r="L10" s="612"/>
      <c r="M10" s="612"/>
      <c r="N10" s="538"/>
    </row>
    <row r="11" spans="1:14">
      <c r="A11" s="37" t="s">
        <v>794</v>
      </c>
      <c r="B11" s="537" t="s">
        <v>795</v>
      </c>
      <c r="C11" s="612"/>
      <c r="D11" s="612"/>
      <c r="E11" s="612"/>
      <c r="F11" s="612"/>
      <c r="G11" s="612"/>
      <c r="H11" s="612"/>
      <c r="I11" s="612"/>
      <c r="J11" s="612"/>
      <c r="K11" s="612"/>
      <c r="L11" s="612"/>
      <c r="M11" s="612"/>
      <c r="N11" s="538"/>
    </row>
    <row r="12" spans="1:14">
      <c r="A12" s="37" t="s">
        <v>796</v>
      </c>
      <c r="B12" s="537" t="s">
        <v>797</v>
      </c>
      <c r="C12" s="612"/>
      <c r="D12" s="612"/>
      <c r="E12" s="612"/>
      <c r="F12" s="612"/>
      <c r="G12" s="612"/>
      <c r="H12" s="612"/>
      <c r="I12" s="612"/>
      <c r="J12" s="612"/>
      <c r="K12" s="612"/>
      <c r="L12" s="612"/>
      <c r="M12" s="612"/>
      <c r="N12" s="538"/>
    </row>
  </sheetData>
  <mergeCells count="10">
    <mergeCell ref="A5:A7"/>
    <mergeCell ref="B5:N7"/>
    <mergeCell ref="B8:N8"/>
    <mergeCell ref="B9:N9"/>
    <mergeCell ref="B10:N10"/>
    <mergeCell ref="B11:N11"/>
    <mergeCell ref="B12:N12"/>
    <mergeCell ref="C1:D1"/>
    <mergeCell ref="C2:D2"/>
    <mergeCell ref="C3:D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opLeftCell="A7" workbookViewId="0">
      <selection activeCell="K5" sqref="K5:K7"/>
    </sheetView>
  </sheetViews>
  <sheetFormatPr defaultRowHeight="15"/>
  <cols>
    <col min="1" max="2" width="14" customWidth="1"/>
    <col min="3" max="3" width="12.28515625" customWidth="1"/>
    <col min="4" max="4" width="25.5703125" customWidth="1"/>
    <col min="5" max="5" width="11.140625" customWidth="1"/>
    <col min="6" max="6" width="16" customWidth="1"/>
    <col min="7" max="7" width="18.42578125" customWidth="1"/>
    <col min="8" max="8" width="14.140625" customWidth="1"/>
    <col min="9" max="9" width="16" customWidth="1"/>
    <col min="10" max="10" width="14.42578125" customWidth="1"/>
    <col min="11" max="11" width="17.85546875" customWidth="1"/>
    <col min="12" max="12" width="13.42578125" customWidth="1"/>
    <col min="13" max="13" width="18.42578125" customWidth="1"/>
  </cols>
  <sheetData>
    <row r="1" spans="1:14" ht="18.75">
      <c r="A1" s="83"/>
      <c r="B1" s="84" t="s">
        <v>17</v>
      </c>
      <c r="C1" s="622" t="s">
        <v>83</v>
      </c>
      <c r="D1" s="623"/>
      <c r="E1" s="85"/>
      <c r="F1" s="83"/>
      <c r="G1" s="83"/>
      <c r="H1" s="83"/>
      <c r="I1" s="86"/>
      <c r="J1" s="83"/>
      <c r="K1" s="83"/>
      <c r="L1" s="83"/>
      <c r="M1" s="83"/>
      <c r="N1" s="83"/>
    </row>
    <row r="2" spans="1:14" ht="18.75">
      <c r="A2" s="83"/>
      <c r="B2" s="84" t="s">
        <v>19</v>
      </c>
      <c r="C2" s="624">
        <v>42997</v>
      </c>
      <c r="D2" s="625"/>
      <c r="E2" s="87"/>
      <c r="F2" s="83"/>
      <c r="G2" s="86"/>
      <c r="H2" s="88"/>
      <c r="I2" s="86"/>
      <c r="J2" s="86"/>
      <c r="K2" s="83"/>
      <c r="L2" s="83"/>
      <c r="M2" s="89">
        <v>42968</v>
      </c>
      <c r="N2" s="83"/>
    </row>
    <row r="3" spans="1:14" ht="37.5">
      <c r="A3" s="83"/>
      <c r="B3" s="84" t="s">
        <v>20</v>
      </c>
      <c r="C3" s="626" t="s">
        <v>84</v>
      </c>
      <c r="D3" s="627"/>
      <c r="E3" s="90"/>
      <c r="F3" s="83"/>
      <c r="G3" s="83"/>
      <c r="H3" s="83"/>
      <c r="I3" s="83"/>
      <c r="J3" s="83"/>
      <c r="K3" s="83"/>
      <c r="L3" s="83"/>
      <c r="M3" s="83"/>
      <c r="N3" s="83"/>
    </row>
    <row r="4" spans="1:14" ht="9" customHeight="1">
      <c r="A4" s="83"/>
      <c r="B4" s="91"/>
      <c r="C4" s="92"/>
      <c r="D4" s="93"/>
      <c r="E4" s="93"/>
      <c r="F4" s="83"/>
      <c r="G4" s="83"/>
      <c r="H4" s="83"/>
      <c r="I4" s="83"/>
      <c r="J4" s="83"/>
      <c r="K4" s="83"/>
      <c r="L4" s="83"/>
      <c r="M4" s="83"/>
      <c r="N4" s="83"/>
    </row>
    <row r="5" spans="1:14" s="29" customFormat="1">
      <c r="A5" s="628" t="s">
        <v>57</v>
      </c>
      <c r="B5" s="631" t="s">
        <v>22</v>
      </c>
      <c r="C5" s="631" t="s">
        <v>23</v>
      </c>
      <c r="D5" s="631" t="s">
        <v>24</v>
      </c>
      <c r="E5" s="631" t="s">
        <v>25</v>
      </c>
      <c r="F5" s="631" t="s">
        <v>15</v>
      </c>
      <c r="G5" s="631" t="s">
        <v>58</v>
      </c>
      <c r="H5" s="628" t="s">
        <v>26</v>
      </c>
      <c r="I5" s="632" t="s">
        <v>27</v>
      </c>
      <c r="J5" s="631" t="s">
        <v>28</v>
      </c>
      <c r="K5" s="628" t="s">
        <v>13</v>
      </c>
      <c r="L5" s="628" t="s">
        <v>11</v>
      </c>
      <c r="M5" s="628" t="s">
        <v>9</v>
      </c>
      <c r="N5" s="628" t="s">
        <v>31</v>
      </c>
    </row>
    <row r="6" spans="1:14" s="29" customFormat="1">
      <c r="A6" s="629"/>
      <c r="B6" s="631"/>
      <c r="C6" s="631"/>
      <c r="D6" s="631"/>
      <c r="E6" s="631"/>
      <c r="F6" s="631"/>
      <c r="G6" s="631"/>
      <c r="H6" s="629"/>
      <c r="I6" s="633"/>
      <c r="J6" s="631"/>
      <c r="K6" s="629"/>
      <c r="L6" s="629"/>
      <c r="M6" s="629"/>
      <c r="N6" s="629"/>
    </row>
    <row r="7" spans="1:14" s="29" customFormat="1" ht="48" customHeight="1">
      <c r="A7" s="630"/>
      <c r="B7" s="631"/>
      <c r="C7" s="631"/>
      <c r="D7" s="631"/>
      <c r="E7" s="631"/>
      <c r="F7" s="631"/>
      <c r="G7" s="631"/>
      <c r="H7" s="630"/>
      <c r="I7" s="634"/>
      <c r="J7" s="631"/>
      <c r="K7" s="630"/>
      <c r="L7" s="630"/>
      <c r="M7" s="630"/>
      <c r="N7" s="630"/>
    </row>
    <row r="8" spans="1:14" s="29" customFormat="1" ht="150">
      <c r="A8" s="94">
        <v>1</v>
      </c>
      <c r="B8" s="94" t="s">
        <v>85</v>
      </c>
      <c r="C8" s="95" t="s">
        <v>86</v>
      </c>
      <c r="D8" s="96" t="s">
        <v>87</v>
      </c>
      <c r="E8" s="94" t="s">
        <v>88</v>
      </c>
      <c r="F8" s="97">
        <v>1250000</v>
      </c>
      <c r="G8" s="98">
        <v>1250000</v>
      </c>
      <c r="H8" s="99">
        <v>2019</v>
      </c>
      <c r="I8" s="100">
        <v>0</v>
      </c>
      <c r="J8" s="100">
        <v>0</v>
      </c>
      <c r="K8" s="101">
        <v>0</v>
      </c>
      <c r="L8" s="101">
        <v>0</v>
      </c>
      <c r="M8" s="97">
        <f>G8-K8-L8</f>
        <v>1250000</v>
      </c>
      <c r="N8" s="94" t="s">
        <v>89</v>
      </c>
    </row>
    <row r="9" spans="1:14" ht="150">
      <c r="A9" s="102">
        <v>2</v>
      </c>
      <c r="B9" s="102" t="s">
        <v>90</v>
      </c>
      <c r="C9" s="95" t="s">
        <v>91</v>
      </c>
      <c r="D9" s="99" t="s">
        <v>87</v>
      </c>
      <c r="E9" s="94" t="s">
        <v>88</v>
      </c>
      <c r="F9" s="103">
        <v>1250000</v>
      </c>
      <c r="G9" s="104">
        <v>1250000</v>
      </c>
      <c r="H9" s="99">
        <v>2019</v>
      </c>
      <c r="I9" s="100">
        <v>0</v>
      </c>
      <c r="J9" s="100">
        <v>0</v>
      </c>
      <c r="K9" s="105">
        <v>0</v>
      </c>
      <c r="L9" s="105">
        <v>0</v>
      </c>
      <c r="M9" s="97">
        <f t="shared" ref="M9:M22" si="0">G9-K9-L9</f>
        <v>1250000</v>
      </c>
      <c r="N9" s="94" t="s">
        <v>89</v>
      </c>
    </row>
    <row r="10" spans="1:14" s="29" customFormat="1" ht="131.25">
      <c r="A10" s="94">
        <v>3</v>
      </c>
      <c r="B10" s="94" t="s">
        <v>92</v>
      </c>
      <c r="C10" s="95" t="s">
        <v>93</v>
      </c>
      <c r="D10" s="99" t="s">
        <v>94</v>
      </c>
      <c r="E10" s="94" t="s">
        <v>88</v>
      </c>
      <c r="F10" s="103">
        <v>2200000</v>
      </c>
      <c r="G10" s="125">
        <v>2200000</v>
      </c>
      <c r="H10" s="126">
        <v>43252</v>
      </c>
      <c r="I10" s="100">
        <v>0.01</v>
      </c>
      <c r="J10" s="100">
        <v>0.01</v>
      </c>
      <c r="K10" s="106">
        <v>9854</v>
      </c>
      <c r="L10" s="106">
        <v>0</v>
      </c>
      <c r="M10" s="97">
        <f t="shared" si="0"/>
        <v>2190146</v>
      </c>
      <c r="N10" s="94" t="s">
        <v>89</v>
      </c>
    </row>
    <row r="11" spans="1:14" ht="18.75">
      <c r="A11" s="102"/>
      <c r="B11" s="102"/>
      <c r="C11" s="107"/>
      <c r="D11" s="108"/>
      <c r="E11" s="108"/>
      <c r="F11" s="103"/>
      <c r="G11" s="109"/>
      <c r="H11" s="110"/>
      <c r="I11" s="110"/>
      <c r="J11" s="110"/>
      <c r="K11" s="105"/>
      <c r="L11" s="105"/>
      <c r="M11" s="97">
        <f t="shared" si="0"/>
        <v>0</v>
      </c>
      <c r="N11" s="107"/>
    </row>
    <row r="12" spans="1:14" ht="18.75">
      <c r="A12" s="102"/>
      <c r="B12" s="102"/>
      <c r="C12" s="107"/>
      <c r="D12" s="107"/>
      <c r="E12" s="107"/>
      <c r="F12" s="103"/>
      <c r="G12" s="109"/>
      <c r="H12" s="110"/>
      <c r="I12" s="110"/>
      <c r="J12" s="110"/>
      <c r="K12" s="106"/>
      <c r="L12" s="106"/>
      <c r="M12" s="97">
        <f t="shared" si="0"/>
        <v>0</v>
      </c>
      <c r="N12" s="94"/>
    </row>
    <row r="13" spans="1:14" ht="18.75">
      <c r="A13" s="102"/>
      <c r="B13" s="102"/>
      <c r="C13" s="107"/>
      <c r="D13" s="107"/>
      <c r="E13" s="107"/>
      <c r="F13" s="103"/>
      <c r="G13" s="109"/>
      <c r="H13" s="110"/>
      <c r="I13" s="110"/>
      <c r="J13" s="110"/>
      <c r="K13" s="106"/>
      <c r="L13" s="106"/>
      <c r="M13" s="97">
        <f t="shared" si="0"/>
        <v>0</v>
      </c>
      <c r="N13" s="94"/>
    </row>
    <row r="14" spans="1:14" ht="18.75">
      <c r="A14" s="102"/>
      <c r="B14" s="102"/>
      <c r="C14" s="107"/>
      <c r="D14" s="107"/>
      <c r="E14" s="107"/>
      <c r="F14" s="103"/>
      <c r="G14" s="109"/>
      <c r="H14" s="110"/>
      <c r="I14" s="110"/>
      <c r="J14" s="110"/>
      <c r="K14" s="106"/>
      <c r="L14" s="106"/>
      <c r="M14" s="97">
        <f t="shared" si="0"/>
        <v>0</v>
      </c>
      <c r="N14" s="94"/>
    </row>
    <row r="15" spans="1:14" ht="18.75">
      <c r="A15" s="102"/>
      <c r="B15" s="102"/>
      <c r="C15" s="107"/>
      <c r="D15" s="107"/>
      <c r="E15" s="107"/>
      <c r="F15" s="103"/>
      <c r="G15" s="109"/>
      <c r="H15" s="110"/>
      <c r="I15" s="110"/>
      <c r="J15" s="110"/>
      <c r="K15" s="106"/>
      <c r="L15" s="106"/>
      <c r="M15" s="97">
        <f t="shared" si="0"/>
        <v>0</v>
      </c>
      <c r="N15" s="94"/>
    </row>
    <row r="16" spans="1:14" ht="18.75">
      <c r="A16" s="102"/>
      <c r="B16" s="102"/>
      <c r="C16" s="107"/>
      <c r="D16" s="107"/>
      <c r="E16" s="107"/>
      <c r="F16" s="103"/>
      <c r="G16" s="109"/>
      <c r="H16" s="110"/>
      <c r="I16" s="110"/>
      <c r="J16" s="110"/>
      <c r="K16" s="105"/>
      <c r="L16" s="105"/>
      <c r="M16" s="97">
        <f t="shared" si="0"/>
        <v>0</v>
      </c>
      <c r="N16" s="107"/>
    </row>
    <row r="17" spans="1:14" ht="18.75">
      <c r="A17" s="107"/>
      <c r="B17" s="102"/>
      <c r="C17" s="107"/>
      <c r="D17" s="107"/>
      <c r="E17" s="107"/>
      <c r="F17" s="107"/>
      <c r="G17" s="111"/>
      <c r="H17" s="107"/>
      <c r="I17" s="107"/>
      <c r="J17" s="107"/>
      <c r="K17" s="112"/>
      <c r="L17" s="112"/>
      <c r="M17" s="97">
        <f t="shared" si="0"/>
        <v>0</v>
      </c>
      <c r="N17" s="107"/>
    </row>
    <row r="18" spans="1:14" ht="18.75">
      <c r="A18" s="107"/>
      <c r="B18" s="113"/>
      <c r="C18" s="113"/>
      <c r="D18" s="107"/>
      <c r="E18" s="107"/>
      <c r="F18" s="107"/>
      <c r="G18" s="107"/>
      <c r="H18" s="107"/>
      <c r="I18" s="107"/>
      <c r="J18" s="107"/>
      <c r="K18" s="112"/>
      <c r="L18" s="112"/>
      <c r="M18" s="97">
        <f t="shared" si="0"/>
        <v>0</v>
      </c>
      <c r="N18" s="107"/>
    </row>
    <row r="19" spans="1:14" ht="18.75">
      <c r="A19" s="102"/>
      <c r="B19" s="102"/>
      <c r="C19" s="107"/>
      <c r="D19" s="107"/>
      <c r="E19" s="107"/>
      <c r="F19" s="103"/>
      <c r="G19" s="109"/>
      <c r="H19" s="110"/>
      <c r="I19" s="110"/>
      <c r="J19" s="110"/>
      <c r="K19" s="105"/>
      <c r="L19" s="105"/>
      <c r="M19" s="97">
        <f t="shared" si="0"/>
        <v>0</v>
      </c>
      <c r="N19" s="107"/>
    </row>
    <row r="20" spans="1:14" ht="18.75">
      <c r="A20" s="107"/>
      <c r="B20" s="102"/>
      <c r="C20" s="107"/>
      <c r="D20" s="107"/>
      <c r="E20" s="107"/>
      <c r="F20" s="107"/>
      <c r="G20" s="111"/>
      <c r="H20" s="107"/>
      <c r="I20" s="107"/>
      <c r="J20" s="107"/>
      <c r="K20" s="112"/>
      <c r="L20" s="112"/>
      <c r="M20" s="97">
        <f t="shared" si="0"/>
        <v>0</v>
      </c>
      <c r="N20" s="107"/>
    </row>
    <row r="21" spans="1:14" ht="19.5" thickBot="1">
      <c r="A21" s="107"/>
      <c r="B21" s="113"/>
      <c r="C21" s="113"/>
      <c r="D21" s="107"/>
      <c r="E21" s="114"/>
      <c r="F21" s="114"/>
      <c r="G21" s="114"/>
      <c r="H21" s="107"/>
      <c r="I21" s="114"/>
      <c r="J21" s="114"/>
      <c r="K21" s="115"/>
      <c r="L21" s="115"/>
      <c r="M21" s="116">
        <f t="shared" si="0"/>
        <v>0</v>
      </c>
      <c r="N21" s="114"/>
    </row>
    <row r="22" spans="1:14" ht="19.5" thickBot="1">
      <c r="A22" s="86"/>
      <c r="B22" s="117"/>
      <c r="C22" s="118"/>
      <c r="D22" s="118"/>
      <c r="E22" s="119" t="s">
        <v>54</v>
      </c>
      <c r="F22" s="120">
        <f>SUM(F8:F21)</f>
        <v>4700000</v>
      </c>
      <c r="G22" s="121">
        <f>SUM(G8:G21)</f>
        <v>4700000</v>
      </c>
      <c r="H22" s="122"/>
      <c r="I22" s="123"/>
      <c r="J22" s="123"/>
      <c r="K22" s="120">
        <f>SUM(K8:K21)</f>
        <v>9854</v>
      </c>
      <c r="L22" s="121">
        <f>SUM(L8:L21)</f>
        <v>0</v>
      </c>
      <c r="M22" s="124">
        <f t="shared" si="0"/>
        <v>4690146</v>
      </c>
      <c r="N22" s="122"/>
    </row>
  </sheetData>
  <mergeCells count="17">
    <mergeCell ref="K5:K7"/>
    <mergeCell ref="L5:L7"/>
    <mergeCell ref="M5:M7"/>
    <mergeCell ref="N5:N7"/>
    <mergeCell ref="E5:E7"/>
    <mergeCell ref="F5:F7"/>
    <mergeCell ref="G5:G7"/>
    <mergeCell ref="H5:H7"/>
    <mergeCell ref="I5:I7"/>
    <mergeCell ref="J5:J7"/>
    <mergeCell ref="C1:D1"/>
    <mergeCell ref="C2:D2"/>
    <mergeCell ref="C3:D3"/>
    <mergeCell ref="A5:A7"/>
    <mergeCell ref="B5:B7"/>
    <mergeCell ref="C5:C7"/>
    <mergeCell ref="D5:D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G20" sqref="G20"/>
    </sheetView>
  </sheetViews>
  <sheetFormatPr defaultRowHeight="15"/>
  <cols>
    <col min="2" max="2" width="15.140625" customWidth="1"/>
    <col min="3" max="3" width="14.28515625" customWidth="1"/>
    <col min="4" max="4" width="15" customWidth="1"/>
    <col min="5" max="5" width="14.140625" customWidth="1"/>
    <col min="6" max="6" width="14.85546875" customWidth="1"/>
    <col min="7" max="7" width="13.85546875" customWidth="1"/>
    <col min="8" max="8" width="14" customWidth="1"/>
    <col min="9" max="9" width="14.85546875" customWidth="1"/>
    <col min="10" max="10" width="15.28515625" customWidth="1"/>
    <col min="11" max="11" width="16.28515625" customWidth="1"/>
    <col min="12" max="12" width="13" customWidth="1"/>
    <col min="13" max="13" width="14.7109375" customWidth="1"/>
    <col min="14" max="14" width="24.85546875" customWidth="1"/>
  </cols>
  <sheetData>
    <row r="1" spans="1:14" ht="15.75">
      <c r="B1" s="20" t="s">
        <v>17</v>
      </c>
      <c r="C1" s="537" t="s">
        <v>818</v>
      </c>
      <c r="D1" s="538"/>
      <c r="E1" s="21"/>
      <c r="I1" s="22"/>
    </row>
    <row r="2" spans="1:14" ht="15.75">
      <c r="B2" s="20" t="s">
        <v>19</v>
      </c>
      <c r="C2" s="539">
        <v>43012</v>
      </c>
      <c r="D2" s="540"/>
      <c r="E2" s="23"/>
      <c r="G2" s="22"/>
      <c r="H2" s="24"/>
      <c r="I2" s="22"/>
      <c r="J2" s="22"/>
      <c r="M2" s="127"/>
    </row>
    <row r="3" spans="1:14" ht="31.5">
      <c r="B3" s="20" t="s">
        <v>20</v>
      </c>
      <c r="C3" s="541" t="s">
        <v>819</v>
      </c>
      <c r="D3" s="542"/>
      <c r="E3" s="26"/>
    </row>
    <row r="4" spans="1:14" ht="15.75">
      <c r="B4" s="27"/>
      <c r="C4" s="28"/>
      <c r="D4" s="29"/>
      <c r="E4" s="29"/>
    </row>
    <row r="5" spans="1:14" ht="36" customHeight="1">
      <c r="A5" s="543" t="s">
        <v>57</v>
      </c>
      <c r="B5" s="547" t="s">
        <v>22</v>
      </c>
      <c r="C5" s="547" t="s">
        <v>23</v>
      </c>
      <c r="D5" s="547" t="s">
        <v>24</v>
      </c>
      <c r="E5" s="547" t="s">
        <v>25</v>
      </c>
      <c r="F5" s="547" t="s">
        <v>15</v>
      </c>
      <c r="G5" s="547" t="s">
        <v>58</v>
      </c>
      <c r="H5" s="543" t="s">
        <v>26</v>
      </c>
      <c r="I5" s="609" t="s">
        <v>27</v>
      </c>
      <c r="J5" s="547" t="s">
        <v>28</v>
      </c>
      <c r="K5" s="543" t="s">
        <v>13</v>
      </c>
      <c r="L5" s="543" t="s">
        <v>11</v>
      </c>
      <c r="M5" s="543" t="s">
        <v>9</v>
      </c>
      <c r="N5" s="543" t="s">
        <v>31</v>
      </c>
    </row>
    <row r="6" spans="1:14" ht="36" customHeight="1">
      <c r="A6" s="544"/>
      <c r="B6" s="547"/>
      <c r="C6" s="547"/>
      <c r="D6" s="547"/>
      <c r="E6" s="547"/>
      <c r="F6" s="547"/>
      <c r="G6" s="547"/>
      <c r="H6" s="544"/>
      <c r="I6" s="610"/>
      <c r="J6" s="547"/>
      <c r="K6" s="544"/>
      <c r="L6" s="544"/>
      <c r="M6" s="544"/>
      <c r="N6" s="544"/>
    </row>
    <row r="7" spans="1:14" ht="36" customHeight="1">
      <c r="A7" s="545"/>
      <c r="B7" s="547"/>
      <c r="C7" s="547"/>
      <c r="D7" s="547"/>
      <c r="E7" s="547"/>
      <c r="F7" s="547"/>
      <c r="G7" s="547"/>
      <c r="H7" s="545"/>
      <c r="I7" s="611"/>
      <c r="J7" s="547"/>
      <c r="K7" s="545"/>
      <c r="L7" s="545"/>
      <c r="M7" s="545"/>
      <c r="N7" s="545"/>
    </row>
    <row r="8" spans="1:14" s="29" customFormat="1" ht="90">
      <c r="A8" s="30">
        <v>1</v>
      </c>
      <c r="B8" s="393" t="s">
        <v>820</v>
      </c>
      <c r="C8" s="43" t="s">
        <v>821</v>
      </c>
      <c r="D8" s="31" t="s">
        <v>827</v>
      </c>
      <c r="E8" s="31" t="s">
        <v>822</v>
      </c>
      <c r="F8" s="394">
        <v>1400000</v>
      </c>
      <c r="G8" s="395">
        <v>1400000</v>
      </c>
      <c r="H8" s="43" t="s">
        <v>828</v>
      </c>
      <c r="I8" s="35">
        <v>0</v>
      </c>
      <c r="J8" s="35">
        <v>0</v>
      </c>
      <c r="K8" s="396">
        <v>0</v>
      </c>
      <c r="L8" s="396">
        <v>0</v>
      </c>
      <c r="M8" s="395">
        <v>1400000</v>
      </c>
      <c r="N8" s="43" t="s">
        <v>829</v>
      </c>
    </row>
    <row r="9" spans="1:14" ht="120">
      <c r="A9" s="37"/>
      <c r="B9" s="393" t="s">
        <v>820</v>
      </c>
      <c r="C9" s="31" t="s">
        <v>823</v>
      </c>
      <c r="D9" s="31" t="s">
        <v>824</v>
      </c>
      <c r="E9" s="31" t="s">
        <v>825</v>
      </c>
      <c r="F9" s="395">
        <v>400000</v>
      </c>
      <c r="G9" s="395">
        <v>400000</v>
      </c>
      <c r="H9" s="34">
        <v>43708</v>
      </c>
      <c r="I9" s="35">
        <v>1</v>
      </c>
      <c r="J9" s="35">
        <v>0</v>
      </c>
      <c r="K9" s="396">
        <v>0</v>
      </c>
      <c r="L9" s="396">
        <v>0</v>
      </c>
      <c r="M9" s="395">
        <f>G9-K9-L9</f>
        <v>400000</v>
      </c>
      <c r="N9" s="31" t="s">
        <v>826</v>
      </c>
    </row>
    <row r="10" spans="1:14">
      <c r="A10" s="37"/>
      <c r="B10" s="37"/>
      <c r="C10" s="43"/>
      <c r="D10" s="31"/>
      <c r="E10" s="31"/>
      <c r="F10" s="395"/>
      <c r="G10" s="395"/>
      <c r="H10" s="43"/>
      <c r="I10" s="35"/>
      <c r="J10" s="35"/>
      <c r="K10" s="396"/>
      <c r="L10" s="396"/>
      <c r="M10" s="395">
        <f t="shared" ref="M10:M11" si="0">G10-K10-L10</f>
        <v>0</v>
      </c>
      <c r="N10" s="30"/>
    </row>
    <row r="11" spans="1:14" ht="16.5" thickBot="1">
      <c r="A11" s="37"/>
      <c r="B11" s="397"/>
      <c r="C11" s="43"/>
      <c r="D11" s="398"/>
      <c r="E11" s="398"/>
      <c r="F11" s="399"/>
      <c r="G11" s="395"/>
      <c r="H11" s="43"/>
      <c r="I11" s="35"/>
      <c r="J11" s="35"/>
      <c r="K11" s="396"/>
      <c r="L11" s="396"/>
      <c r="M11" s="400">
        <f t="shared" si="0"/>
        <v>0</v>
      </c>
      <c r="N11" s="61"/>
    </row>
    <row r="12" spans="1:14" ht="16.5" thickBot="1">
      <c r="A12" s="22"/>
      <c r="B12" s="64"/>
      <c r="C12" s="65"/>
      <c r="D12" s="401" t="s">
        <v>54</v>
      </c>
      <c r="E12" s="402"/>
      <c r="F12" s="67">
        <f>SUM(F8:F11)</f>
        <v>1800000</v>
      </c>
      <c r="G12" s="68">
        <f>SUM(G8:G10)</f>
        <v>1800000</v>
      </c>
      <c r="H12" s="70"/>
      <c r="I12" s="70"/>
      <c r="J12" s="70"/>
      <c r="K12" s="68">
        <f t="shared" ref="K12:L12" si="1">SUM(K8:K10)</f>
        <v>0</v>
      </c>
      <c r="L12" s="68">
        <f t="shared" si="1"/>
        <v>0</v>
      </c>
      <c r="M12" s="395">
        <f>SUM(M8:M11)</f>
        <v>1800000</v>
      </c>
      <c r="N12" s="22"/>
    </row>
  </sheetData>
  <mergeCells count="17">
    <mergeCell ref="C1:D1"/>
    <mergeCell ref="C2:D2"/>
    <mergeCell ref="C3:D3"/>
    <mergeCell ref="A5:A7"/>
    <mergeCell ref="B5:B7"/>
    <mergeCell ref="C5:C7"/>
    <mergeCell ref="D5:D7"/>
    <mergeCell ref="K5:K7"/>
    <mergeCell ref="L5:L7"/>
    <mergeCell ref="M5:M7"/>
    <mergeCell ref="N5:N7"/>
    <mergeCell ref="E5:E7"/>
    <mergeCell ref="F5:F7"/>
    <mergeCell ref="G5:G7"/>
    <mergeCell ref="H5:H7"/>
    <mergeCell ref="I5:I7"/>
    <mergeCell ref="J5:J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topLeftCell="A31" workbookViewId="0">
      <selection activeCell="G14" sqref="G14"/>
    </sheetView>
  </sheetViews>
  <sheetFormatPr defaultRowHeight="15"/>
  <cols>
    <col min="1" max="1" width="9.140625" customWidth="1"/>
    <col min="2" max="2" width="12.7109375" customWidth="1"/>
    <col min="3" max="3" width="25" customWidth="1"/>
    <col min="4" max="4" width="38.7109375" customWidth="1"/>
    <col min="5" max="5" width="13" customWidth="1"/>
    <col min="6" max="6" width="16.28515625" customWidth="1"/>
    <col min="7" max="7" width="14.140625" customWidth="1"/>
    <col min="8" max="8" width="3.140625" customWidth="1"/>
    <col min="9" max="10" width="15.7109375" customWidth="1"/>
    <col min="11" max="11" width="15.42578125" customWidth="1"/>
    <col min="12" max="12" width="16.85546875" customWidth="1"/>
    <col min="13" max="13" width="13.5703125" customWidth="1"/>
    <col min="14" max="14" width="15.5703125" customWidth="1"/>
  </cols>
  <sheetData>
    <row r="1" spans="1:15" ht="15.75">
      <c r="B1" s="20" t="s">
        <v>17</v>
      </c>
      <c r="C1" s="537" t="s">
        <v>208</v>
      </c>
      <c r="D1" s="538"/>
      <c r="E1" s="21"/>
      <c r="F1" s="147"/>
      <c r="J1" s="22"/>
    </row>
    <row r="2" spans="1:15" ht="15.75">
      <c r="B2" s="20" t="s">
        <v>19</v>
      </c>
      <c r="C2" s="539">
        <v>42996</v>
      </c>
      <c r="D2" s="540"/>
      <c r="E2" s="23"/>
      <c r="F2" s="147"/>
      <c r="G2" s="22"/>
      <c r="H2" s="22"/>
      <c r="I2" s="24"/>
      <c r="J2" s="22"/>
      <c r="K2" s="22"/>
      <c r="N2" s="127"/>
    </row>
    <row r="3" spans="1:15" ht="31.5">
      <c r="B3" s="20" t="s">
        <v>20</v>
      </c>
      <c r="C3" s="541" t="s">
        <v>96</v>
      </c>
      <c r="D3" s="542"/>
      <c r="E3" s="26"/>
      <c r="F3" s="147"/>
    </row>
    <row r="4" spans="1:15" ht="15.75">
      <c r="B4" s="27"/>
      <c r="C4" s="28"/>
      <c r="D4" s="29"/>
      <c r="E4" s="29"/>
      <c r="F4" s="147"/>
    </row>
    <row r="5" spans="1:15" ht="52.5" customHeight="1">
      <c r="A5" s="486" t="s">
        <v>57</v>
      </c>
      <c r="B5" s="489" t="s">
        <v>22</v>
      </c>
      <c r="C5" s="489" t="s">
        <v>23</v>
      </c>
      <c r="D5" s="489" t="s">
        <v>24</v>
      </c>
      <c r="E5" s="489" t="s">
        <v>25</v>
      </c>
      <c r="F5" s="635" t="s">
        <v>15</v>
      </c>
      <c r="G5" s="486" t="s">
        <v>58</v>
      </c>
      <c r="H5" s="486"/>
      <c r="I5" s="486" t="s">
        <v>26</v>
      </c>
      <c r="J5" s="491" t="s">
        <v>27</v>
      </c>
      <c r="K5" s="489" t="s">
        <v>28</v>
      </c>
      <c r="L5" s="486" t="s">
        <v>13</v>
      </c>
      <c r="M5" s="486" t="s">
        <v>11</v>
      </c>
      <c r="N5" s="486" t="s">
        <v>9</v>
      </c>
      <c r="O5" s="486" t="s">
        <v>31</v>
      </c>
    </row>
    <row r="6" spans="1:15" ht="52.5" customHeight="1">
      <c r="A6" s="487"/>
      <c r="B6" s="489"/>
      <c r="C6" s="489"/>
      <c r="D6" s="489"/>
      <c r="E6" s="489"/>
      <c r="F6" s="635"/>
      <c r="G6" s="487"/>
      <c r="H6" s="487"/>
      <c r="I6" s="487"/>
      <c r="J6" s="492"/>
      <c r="K6" s="489"/>
      <c r="L6" s="487"/>
      <c r="M6" s="487"/>
      <c r="N6" s="487"/>
      <c r="O6" s="487"/>
    </row>
    <row r="7" spans="1:15" ht="52.5" customHeight="1">
      <c r="A7" s="488"/>
      <c r="B7" s="489"/>
      <c r="C7" s="489"/>
      <c r="D7" s="489"/>
      <c r="E7" s="489"/>
      <c r="F7" s="635"/>
      <c r="G7" s="488"/>
      <c r="H7" s="488"/>
      <c r="I7" s="488"/>
      <c r="J7" s="493"/>
      <c r="K7" s="489"/>
      <c r="L7" s="488"/>
      <c r="M7" s="488"/>
      <c r="N7" s="488"/>
      <c r="O7" s="488"/>
    </row>
    <row r="8" spans="1:15">
      <c r="A8" s="134">
        <v>1</v>
      </c>
      <c r="B8" s="32" t="s">
        <v>209</v>
      </c>
      <c r="C8" s="45" t="s">
        <v>210</v>
      </c>
      <c r="D8" s="32" t="s">
        <v>211</v>
      </c>
      <c r="E8" s="32" t="s">
        <v>100</v>
      </c>
      <c r="F8" s="148">
        <v>146392.95299999998</v>
      </c>
      <c r="G8" s="130"/>
      <c r="H8" s="130"/>
      <c r="I8" s="149" t="s">
        <v>101</v>
      </c>
      <c r="J8" s="131">
        <v>1</v>
      </c>
      <c r="K8" s="131">
        <v>0</v>
      </c>
      <c r="L8" s="132">
        <v>0</v>
      </c>
      <c r="M8" s="132">
        <v>0</v>
      </c>
      <c r="N8" s="130">
        <f t="shared" ref="N8:N45" si="0">G8-L8-M8</f>
        <v>0</v>
      </c>
      <c r="O8" s="134"/>
    </row>
    <row r="9" spans="1:15" s="29" customFormat="1">
      <c r="A9" s="134">
        <v>1</v>
      </c>
      <c r="B9" s="45" t="s">
        <v>212</v>
      </c>
      <c r="C9" s="45" t="s">
        <v>213</v>
      </c>
      <c r="D9" s="45" t="s">
        <v>214</v>
      </c>
      <c r="E9" s="32" t="s">
        <v>100</v>
      </c>
      <c r="F9" s="148">
        <v>1232937.3</v>
      </c>
      <c r="G9" s="130"/>
      <c r="H9" s="130"/>
      <c r="I9" s="156" t="s">
        <v>101</v>
      </c>
      <c r="J9" s="157">
        <v>1</v>
      </c>
      <c r="K9" s="157">
        <v>0</v>
      </c>
      <c r="L9" s="150"/>
      <c r="M9" s="150"/>
      <c r="N9" s="130">
        <f t="shared" si="0"/>
        <v>0</v>
      </c>
      <c r="O9" s="134"/>
    </row>
    <row r="10" spans="1:15" s="29" customFormat="1">
      <c r="A10" s="134">
        <v>1</v>
      </c>
      <c r="B10" s="45" t="s">
        <v>215</v>
      </c>
      <c r="C10" s="45" t="s">
        <v>216</v>
      </c>
      <c r="D10" s="45" t="s">
        <v>217</v>
      </c>
      <c r="E10" s="32" t="s">
        <v>100</v>
      </c>
      <c r="F10" s="148">
        <v>1502187</v>
      </c>
      <c r="G10" s="130"/>
      <c r="H10" s="130"/>
      <c r="I10" s="156" t="s">
        <v>101</v>
      </c>
      <c r="J10" s="157">
        <v>0.75</v>
      </c>
      <c r="K10" s="157">
        <v>0</v>
      </c>
      <c r="L10" s="150"/>
      <c r="M10" s="150"/>
      <c r="N10" s="130">
        <f t="shared" si="0"/>
        <v>0</v>
      </c>
      <c r="O10" s="45"/>
    </row>
    <row r="11" spans="1:15" s="29" customFormat="1" ht="30">
      <c r="A11" s="134">
        <v>1</v>
      </c>
      <c r="B11" s="45" t="s">
        <v>218</v>
      </c>
      <c r="C11" s="45" t="s">
        <v>219</v>
      </c>
      <c r="D11" s="45" t="s">
        <v>220</v>
      </c>
      <c r="E11" s="32" t="s">
        <v>100</v>
      </c>
      <c r="F11" s="148">
        <v>779820</v>
      </c>
      <c r="G11" s="130"/>
      <c r="H11" s="130"/>
      <c r="I11" s="156" t="s">
        <v>101</v>
      </c>
      <c r="J11" s="157">
        <v>0.75</v>
      </c>
      <c r="K11" s="157">
        <v>0</v>
      </c>
      <c r="L11" s="150"/>
      <c r="M11" s="150"/>
      <c r="N11" s="130">
        <f t="shared" si="0"/>
        <v>0</v>
      </c>
      <c r="O11" s="134"/>
    </row>
    <row r="12" spans="1:15" s="29" customFormat="1">
      <c r="A12" s="134">
        <v>1</v>
      </c>
      <c r="B12" s="45" t="s">
        <v>221</v>
      </c>
      <c r="C12" s="45" t="s">
        <v>222</v>
      </c>
      <c r="D12" s="45" t="s">
        <v>223</v>
      </c>
      <c r="E12" s="32" t="s">
        <v>100</v>
      </c>
      <c r="F12" s="148">
        <v>2432595.69</v>
      </c>
      <c r="G12" s="130"/>
      <c r="H12" s="130"/>
      <c r="I12" s="156" t="s">
        <v>101</v>
      </c>
      <c r="J12" s="157">
        <v>0</v>
      </c>
      <c r="K12" s="157">
        <v>0</v>
      </c>
      <c r="L12" s="150"/>
      <c r="M12" s="150"/>
      <c r="N12" s="130">
        <f t="shared" si="0"/>
        <v>0</v>
      </c>
      <c r="O12" s="134"/>
    </row>
    <row r="13" spans="1:15" s="29" customFormat="1">
      <c r="A13" s="134">
        <v>1</v>
      </c>
      <c r="B13" s="45" t="s">
        <v>224</v>
      </c>
      <c r="C13" s="45" t="s">
        <v>222</v>
      </c>
      <c r="D13" s="45" t="s">
        <v>225</v>
      </c>
      <c r="E13" s="32" t="s">
        <v>100</v>
      </c>
      <c r="F13" s="148">
        <v>343970.08799999999</v>
      </c>
      <c r="G13" s="130"/>
      <c r="H13" s="130"/>
      <c r="I13" s="156" t="s">
        <v>101</v>
      </c>
      <c r="J13" s="157">
        <v>0</v>
      </c>
      <c r="K13" s="157">
        <v>0</v>
      </c>
      <c r="L13" s="150"/>
      <c r="M13" s="150"/>
      <c r="N13" s="130">
        <f t="shared" si="0"/>
        <v>0</v>
      </c>
      <c r="O13" s="134"/>
    </row>
    <row r="14" spans="1:15" s="29" customFormat="1">
      <c r="A14" s="134">
        <v>1</v>
      </c>
      <c r="B14" s="45" t="s">
        <v>226</v>
      </c>
      <c r="C14" s="45" t="s">
        <v>227</v>
      </c>
      <c r="D14" s="45" t="s">
        <v>225</v>
      </c>
      <c r="E14" s="32" t="s">
        <v>100</v>
      </c>
      <c r="F14" s="148">
        <v>655961.25</v>
      </c>
      <c r="G14" s="130"/>
      <c r="H14" s="130"/>
      <c r="I14" s="156" t="s">
        <v>101</v>
      </c>
      <c r="J14" s="157">
        <v>0</v>
      </c>
      <c r="K14" s="157">
        <v>0</v>
      </c>
      <c r="L14" s="150"/>
      <c r="M14" s="150"/>
      <c r="N14" s="130">
        <f t="shared" si="0"/>
        <v>0</v>
      </c>
      <c r="O14" s="134"/>
    </row>
    <row r="15" spans="1:15" s="29" customFormat="1">
      <c r="A15" s="134">
        <v>1</v>
      </c>
      <c r="B15" s="45" t="s">
        <v>228</v>
      </c>
      <c r="C15" s="151" t="s">
        <v>227</v>
      </c>
      <c r="D15" s="45" t="s">
        <v>229</v>
      </c>
      <c r="E15" s="32" t="s">
        <v>100</v>
      </c>
      <c r="F15" s="148">
        <v>3270597.75</v>
      </c>
      <c r="G15" s="130"/>
      <c r="H15" s="130"/>
      <c r="I15" s="156" t="s">
        <v>101</v>
      </c>
      <c r="J15" s="157">
        <v>0</v>
      </c>
      <c r="K15" s="157">
        <v>0</v>
      </c>
      <c r="L15" s="150"/>
      <c r="M15" s="150"/>
      <c r="N15" s="130">
        <f t="shared" si="0"/>
        <v>0</v>
      </c>
      <c r="O15" s="45"/>
    </row>
    <row r="16" spans="1:15" s="29" customFormat="1">
      <c r="A16" s="134">
        <v>1</v>
      </c>
      <c r="B16" s="45" t="s">
        <v>230</v>
      </c>
      <c r="C16" s="151" t="s">
        <v>227</v>
      </c>
      <c r="D16" s="45" t="s">
        <v>231</v>
      </c>
      <c r="E16" s="32" t="s">
        <v>100</v>
      </c>
      <c r="F16" s="158">
        <v>1539567.75</v>
      </c>
      <c r="G16" s="130"/>
      <c r="H16" s="130"/>
      <c r="I16" s="156" t="s">
        <v>101</v>
      </c>
      <c r="J16" s="157">
        <v>0</v>
      </c>
      <c r="K16" s="157">
        <v>0</v>
      </c>
      <c r="L16" s="159"/>
      <c r="M16" s="159"/>
      <c r="N16" s="130">
        <f t="shared" si="0"/>
        <v>0</v>
      </c>
      <c r="O16" s="45"/>
    </row>
    <row r="17" spans="1:15" s="29" customFormat="1">
      <c r="A17" s="134">
        <v>1</v>
      </c>
      <c r="B17" s="32" t="s">
        <v>232</v>
      </c>
      <c r="C17" s="45" t="s">
        <v>210</v>
      </c>
      <c r="D17" s="32" t="s">
        <v>233</v>
      </c>
      <c r="E17" s="32" t="s">
        <v>100</v>
      </c>
      <c r="F17" s="148">
        <v>572985.23100000003</v>
      </c>
      <c r="G17" s="130"/>
      <c r="H17" s="130"/>
      <c r="I17" s="156" t="s">
        <v>101</v>
      </c>
      <c r="J17" s="157">
        <v>0</v>
      </c>
      <c r="K17" s="157">
        <v>0</v>
      </c>
      <c r="L17" s="132"/>
      <c r="M17" s="132"/>
      <c r="N17" s="130">
        <f t="shared" si="0"/>
        <v>0</v>
      </c>
      <c r="O17" s="134"/>
    </row>
    <row r="18" spans="1:15" s="29" customFormat="1">
      <c r="A18" s="134">
        <v>1</v>
      </c>
      <c r="B18" s="45" t="s">
        <v>234</v>
      </c>
      <c r="C18" s="151" t="s">
        <v>213</v>
      </c>
      <c r="D18" s="45" t="s">
        <v>235</v>
      </c>
      <c r="E18" s="32" t="s">
        <v>100</v>
      </c>
      <c r="F18" s="148">
        <v>3332580.3000000003</v>
      </c>
      <c r="G18" s="130"/>
      <c r="H18" s="130"/>
      <c r="I18" s="156" t="s">
        <v>101</v>
      </c>
      <c r="J18" s="157">
        <v>0</v>
      </c>
      <c r="K18" s="157">
        <v>0</v>
      </c>
      <c r="L18" s="150"/>
      <c r="M18" s="150"/>
      <c r="N18" s="130">
        <f t="shared" si="0"/>
        <v>0</v>
      </c>
      <c r="O18" s="134"/>
    </row>
    <row r="19" spans="1:15" s="29" customFormat="1">
      <c r="A19" s="134">
        <v>1</v>
      </c>
      <c r="B19" s="45" t="s">
        <v>236</v>
      </c>
      <c r="C19" s="151" t="s">
        <v>213</v>
      </c>
      <c r="D19" s="45" t="s">
        <v>237</v>
      </c>
      <c r="E19" s="32" t="s">
        <v>100</v>
      </c>
      <c r="F19" s="148">
        <v>3711701.7</v>
      </c>
      <c r="G19" s="130"/>
      <c r="H19" s="130"/>
      <c r="I19" s="156" t="s">
        <v>101</v>
      </c>
      <c r="J19" s="157">
        <v>0</v>
      </c>
      <c r="K19" s="157">
        <v>0</v>
      </c>
      <c r="L19" s="150"/>
      <c r="M19" s="150"/>
      <c r="N19" s="130">
        <f t="shared" si="0"/>
        <v>0</v>
      </c>
      <c r="O19" s="134"/>
    </row>
    <row r="20" spans="1:15" s="29" customFormat="1">
      <c r="A20" s="134">
        <v>1</v>
      </c>
      <c r="B20" s="45" t="s">
        <v>238</v>
      </c>
      <c r="C20" s="151" t="s">
        <v>213</v>
      </c>
      <c r="D20" s="45" t="s">
        <v>225</v>
      </c>
      <c r="E20" s="32" t="s">
        <v>100</v>
      </c>
      <c r="F20" s="148">
        <v>3705288.3000000003</v>
      </c>
      <c r="G20" s="130"/>
      <c r="H20" s="130"/>
      <c r="I20" s="156" t="s">
        <v>101</v>
      </c>
      <c r="J20" s="157">
        <v>0</v>
      </c>
      <c r="K20" s="157">
        <v>0</v>
      </c>
      <c r="L20" s="150"/>
      <c r="M20" s="150"/>
      <c r="N20" s="130">
        <f t="shared" si="0"/>
        <v>0</v>
      </c>
      <c r="O20" s="134"/>
    </row>
    <row r="21" spans="1:15" s="29" customFormat="1">
      <c r="A21" s="134">
        <v>1</v>
      </c>
      <c r="B21" s="45" t="s">
        <v>239</v>
      </c>
      <c r="C21" s="151" t="s">
        <v>213</v>
      </c>
      <c r="D21" s="45" t="s">
        <v>240</v>
      </c>
      <c r="E21" s="32" t="s">
        <v>100</v>
      </c>
      <c r="F21" s="148">
        <v>104863.5</v>
      </c>
      <c r="G21" s="130"/>
      <c r="H21" s="130"/>
      <c r="I21" s="156" t="s">
        <v>101</v>
      </c>
      <c r="J21" s="157">
        <v>0</v>
      </c>
      <c r="K21" s="157">
        <v>0</v>
      </c>
      <c r="L21" s="150"/>
      <c r="M21" s="150"/>
      <c r="N21" s="130"/>
      <c r="O21" s="134"/>
    </row>
    <row r="22" spans="1:15" s="29" customFormat="1">
      <c r="A22" s="134">
        <v>1</v>
      </c>
      <c r="B22" s="45" t="s">
        <v>241</v>
      </c>
      <c r="C22" s="151" t="s">
        <v>242</v>
      </c>
      <c r="D22" s="45" t="s">
        <v>243</v>
      </c>
      <c r="E22" s="32" t="s">
        <v>100</v>
      </c>
      <c r="F22" s="148">
        <v>400590.75</v>
      </c>
      <c r="G22" s="130"/>
      <c r="H22" s="130"/>
      <c r="I22" s="156" t="s">
        <v>101</v>
      </c>
      <c r="J22" s="157">
        <v>0</v>
      </c>
      <c r="K22" s="157">
        <v>0</v>
      </c>
      <c r="L22" s="150"/>
      <c r="M22" s="150"/>
      <c r="N22" s="130">
        <f t="shared" si="0"/>
        <v>0</v>
      </c>
      <c r="O22" s="134"/>
    </row>
    <row r="23" spans="1:15" s="29" customFormat="1">
      <c r="A23" s="134">
        <v>1</v>
      </c>
      <c r="B23" s="45" t="s">
        <v>244</v>
      </c>
      <c r="C23" s="151" t="s">
        <v>242</v>
      </c>
      <c r="D23" s="45" t="s">
        <v>245</v>
      </c>
      <c r="E23" s="32" t="s">
        <v>100</v>
      </c>
      <c r="F23" s="148">
        <v>2784091.8</v>
      </c>
      <c r="G23" s="130"/>
      <c r="H23" s="130"/>
      <c r="I23" s="156" t="s">
        <v>101</v>
      </c>
      <c r="J23" s="157">
        <v>0</v>
      </c>
      <c r="K23" s="157">
        <v>0</v>
      </c>
      <c r="L23" s="150"/>
      <c r="M23" s="150"/>
      <c r="N23" s="130"/>
      <c r="O23" s="134"/>
    </row>
    <row r="24" spans="1:15" s="29" customFormat="1">
      <c r="A24" s="134">
        <v>1</v>
      </c>
      <c r="B24" s="45" t="s">
        <v>246</v>
      </c>
      <c r="C24" s="151" t="s">
        <v>216</v>
      </c>
      <c r="D24" s="45" t="s">
        <v>247</v>
      </c>
      <c r="E24" s="32" t="s">
        <v>100</v>
      </c>
      <c r="F24" s="148">
        <v>5584427.1000000006</v>
      </c>
      <c r="G24" s="130"/>
      <c r="H24" s="130"/>
      <c r="I24" s="156" t="s">
        <v>101</v>
      </c>
      <c r="J24" s="157">
        <v>0</v>
      </c>
      <c r="K24" s="157">
        <v>0</v>
      </c>
      <c r="L24" s="150"/>
      <c r="M24" s="150"/>
      <c r="N24" s="130">
        <f t="shared" si="0"/>
        <v>0</v>
      </c>
      <c r="O24" s="134"/>
    </row>
    <row r="25" spans="1:15" s="29" customFormat="1">
      <c r="A25" s="134">
        <v>1</v>
      </c>
      <c r="B25" s="45" t="s">
        <v>248</v>
      </c>
      <c r="C25" s="151" t="s">
        <v>216</v>
      </c>
      <c r="D25" s="45" t="s">
        <v>249</v>
      </c>
      <c r="E25" s="32" t="s">
        <v>100</v>
      </c>
      <c r="F25" s="148">
        <v>800625</v>
      </c>
      <c r="G25" s="130"/>
      <c r="H25" s="130"/>
      <c r="I25" s="156" t="s">
        <v>101</v>
      </c>
      <c r="J25" s="157">
        <v>0</v>
      </c>
      <c r="K25" s="157">
        <v>0</v>
      </c>
      <c r="L25" s="150"/>
      <c r="M25" s="150"/>
      <c r="N25" s="130">
        <f t="shared" si="0"/>
        <v>0</v>
      </c>
      <c r="O25" s="134"/>
    </row>
    <row r="26" spans="1:15" s="29" customFormat="1">
      <c r="A26" s="134">
        <v>1</v>
      </c>
      <c r="B26" s="45" t="s">
        <v>250</v>
      </c>
      <c r="C26" s="151" t="s">
        <v>216</v>
      </c>
      <c r="D26" s="45" t="s">
        <v>251</v>
      </c>
      <c r="E26" s="32" t="s">
        <v>100</v>
      </c>
      <c r="F26" s="148">
        <v>138075</v>
      </c>
      <c r="G26" s="130"/>
      <c r="H26" s="130"/>
      <c r="I26" s="156" t="s">
        <v>101</v>
      </c>
      <c r="J26" s="157">
        <v>0</v>
      </c>
      <c r="K26" s="157">
        <v>0</v>
      </c>
      <c r="L26" s="150"/>
      <c r="M26" s="150"/>
      <c r="N26" s="130">
        <f t="shared" si="0"/>
        <v>0</v>
      </c>
      <c r="O26" s="134"/>
    </row>
    <row r="27" spans="1:15" s="29" customFormat="1">
      <c r="A27" s="134">
        <v>1</v>
      </c>
      <c r="B27" s="45" t="s">
        <v>252</v>
      </c>
      <c r="C27" s="151" t="s">
        <v>216</v>
      </c>
      <c r="D27" s="45" t="s">
        <v>253</v>
      </c>
      <c r="E27" s="32" t="s">
        <v>100</v>
      </c>
      <c r="F27" s="148">
        <v>3990000</v>
      </c>
      <c r="G27" s="130"/>
      <c r="H27" s="130"/>
      <c r="I27" s="156" t="s">
        <v>101</v>
      </c>
      <c r="J27" s="157">
        <v>0</v>
      </c>
      <c r="K27" s="157">
        <v>0</v>
      </c>
      <c r="L27" s="150"/>
      <c r="M27" s="150"/>
      <c r="N27" s="130">
        <f t="shared" si="0"/>
        <v>0</v>
      </c>
      <c r="O27" s="134"/>
    </row>
    <row r="28" spans="1:15" s="29" customFormat="1" ht="30">
      <c r="A28" s="134">
        <v>1</v>
      </c>
      <c r="B28" s="45" t="s">
        <v>254</v>
      </c>
      <c r="C28" s="151" t="s">
        <v>219</v>
      </c>
      <c r="D28" s="45" t="s">
        <v>255</v>
      </c>
      <c r="E28" s="32" t="s">
        <v>100</v>
      </c>
      <c r="F28" s="148">
        <v>2257573.5</v>
      </c>
      <c r="G28" s="130"/>
      <c r="H28" s="130"/>
      <c r="I28" s="156" t="s">
        <v>101</v>
      </c>
      <c r="J28" s="157">
        <v>0</v>
      </c>
      <c r="K28" s="157">
        <v>0</v>
      </c>
      <c r="L28" s="150"/>
      <c r="M28" s="150"/>
      <c r="N28" s="130">
        <f t="shared" si="0"/>
        <v>0</v>
      </c>
      <c r="O28" s="134"/>
    </row>
    <row r="29" spans="1:15" s="29" customFormat="1" ht="30">
      <c r="A29" s="134">
        <v>1</v>
      </c>
      <c r="B29" s="45" t="s">
        <v>256</v>
      </c>
      <c r="C29" s="151" t="s">
        <v>219</v>
      </c>
      <c r="D29" s="45" t="s">
        <v>257</v>
      </c>
      <c r="E29" s="32" t="s">
        <v>100</v>
      </c>
      <c r="F29" s="148">
        <v>69921.600000000006</v>
      </c>
      <c r="G29" s="130"/>
      <c r="H29" s="130"/>
      <c r="I29" s="156" t="s">
        <v>101</v>
      </c>
      <c r="J29" s="157">
        <v>0</v>
      </c>
      <c r="K29" s="157">
        <v>0</v>
      </c>
      <c r="L29" s="150"/>
      <c r="M29" s="150"/>
      <c r="N29" s="130">
        <f t="shared" si="0"/>
        <v>0</v>
      </c>
      <c r="O29" s="134"/>
    </row>
    <row r="30" spans="1:15" s="29" customFormat="1">
      <c r="A30" s="134">
        <v>1</v>
      </c>
      <c r="B30" s="45" t="s">
        <v>258</v>
      </c>
      <c r="C30" s="151" t="s">
        <v>259</v>
      </c>
      <c r="D30" s="45" t="s">
        <v>260</v>
      </c>
      <c r="E30" s="32" t="s">
        <v>100</v>
      </c>
      <c r="F30" s="148">
        <v>6263085.1500000004</v>
      </c>
      <c r="G30" s="130"/>
      <c r="H30" s="130"/>
      <c r="I30" s="156" t="s">
        <v>101</v>
      </c>
      <c r="J30" s="157">
        <v>0</v>
      </c>
      <c r="K30" s="157">
        <v>0</v>
      </c>
      <c r="L30" s="150"/>
      <c r="M30" s="150"/>
      <c r="N30" s="130">
        <f t="shared" si="0"/>
        <v>0</v>
      </c>
      <c r="O30" s="134"/>
    </row>
    <row r="31" spans="1:15" s="29" customFormat="1">
      <c r="A31" s="134">
        <v>1</v>
      </c>
      <c r="B31" s="45" t="s">
        <v>261</v>
      </c>
      <c r="C31" s="151" t="s">
        <v>259</v>
      </c>
      <c r="D31" s="45" t="s">
        <v>262</v>
      </c>
      <c r="E31" s="32" t="s">
        <v>100</v>
      </c>
      <c r="F31" s="148">
        <v>778050</v>
      </c>
      <c r="G31" s="130"/>
      <c r="H31" s="130"/>
      <c r="I31" s="156" t="s">
        <v>101</v>
      </c>
      <c r="J31" s="157">
        <v>0</v>
      </c>
      <c r="K31" s="157">
        <v>0</v>
      </c>
      <c r="L31" s="150"/>
      <c r="M31" s="150"/>
      <c r="N31" s="130">
        <f t="shared" si="0"/>
        <v>0</v>
      </c>
      <c r="O31" s="134"/>
    </row>
    <row r="32" spans="1:15" s="29" customFormat="1">
      <c r="A32" s="134">
        <v>1</v>
      </c>
      <c r="B32" s="45" t="s">
        <v>263</v>
      </c>
      <c r="C32" s="151" t="s">
        <v>259</v>
      </c>
      <c r="D32" s="45" t="s">
        <v>264</v>
      </c>
      <c r="E32" s="32" t="s">
        <v>100</v>
      </c>
      <c r="F32" s="148">
        <v>2100000</v>
      </c>
      <c r="G32" s="130"/>
      <c r="H32" s="130"/>
      <c r="I32" s="156" t="s">
        <v>101</v>
      </c>
      <c r="J32" s="157">
        <v>0</v>
      </c>
      <c r="K32" s="157">
        <v>0</v>
      </c>
      <c r="L32" s="150"/>
      <c r="M32" s="150"/>
      <c r="N32" s="130">
        <f t="shared" si="0"/>
        <v>0</v>
      </c>
      <c r="O32" s="134"/>
    </row>
    <row r="33" spans="1:15" s="29" customFormat="1">
      <c r="A33" s="134">
        <v>1</v>
      </c>
      <c r="B33" s="45" t="s">
        <v>265</v>
      </c>
      <c r="C33" s="151" t="s">
        <v>259</v>
      </c>
      <c r="D33" s="45" t="s">
        <v>129</v>
      </c>
      <c r="E33" s="32" t="s">
        <v>100</v>
      </c>
      <c r="F33" s="148">
        <v>2100000</v>
      </c>
      <c r="G33" s="130"/>
      <c r="H33" s="130"/>
      <c r="I33" s="156" t="s">
        <v>101</v>
      </c>
      <c r="J33" s="157">
        <v>0</v>
      </c>
      <c r="K33" s="157">
        <v>0</v>
      </c>
      <c r="L33" s="150"/>
      <c r="M33" s="150"/>
      <c r="N33" s="130"/>
      <c r="O33" s="134"/>
    </row>
    <row r="34" spans="1:15" s="29" customFormat="1" ht="30">
      <c r="A34" s="134">
        <v>1</v>
      </c>
      <c r="B34" s="45" t="s">
        <v>266</v>
      </c>
      <c r="C34" s="151" t="s">
        <v>267</v>
      </c>
      <c r="D34" s="45" t="s">
        <v>268</v>
      </c>
      <c r="E34" s="32" t="s">
        <v>100</v>
      </c>
      <c r="F34" s="148">
        <v>2103981.6</v>
      </c>
      <c r="G34" s="130"/>
      <c r="H34" s="130"/>
      <c r="I34" s="156" t="s">
        <v>101</v>
      </c>
      <c r="J34" s="157">
        <v>0</v>
      </c>
      <c r="K34" s="157">
        <v>0</v>
      </c>
      <c r="L34" s="150"/>
      <c r="M34" s="150"/>
      <c r="N34" s="130">
        <f t="shared" si="0"/>
        <v>0</v>
      </c>
      <c r="O34" s="134"/>
    </row>
    <row r="35" spans="1:15" s="29" customFormat="1" ht="30">
      <c r="A35" s="134">
        <v>1</v>
      </c>
      <c r="B35" s="45" t="s">
        <v>269</v>
      </c>
      <c r="C35" s="45" t="s">
        <v>267</v>
      </c>
      <c r="D35" s="45" t="s">
        <v>270</v>
      </c>
      <c r="E35" s="32" t="s">
        <v>100</v>
      </c>
      <c r="F35" s="148">
        <v>638400</v>
      </c>
      <c r="G35" s="130"/>
      <c r="H35" s="130"/>
      <c r="I35" s="156" t="s">
        <v>101</v>
      </c>
      <c r="J35" s="157">
        <v>0</v>
      </c>
      <c r="K35" s="157">
        <v>0</v>
      </c>
      <c r="L35" s="150"/>
      <c r="M35" s="150"/>
      <c r="N35" s="130">
        <f t="shared" si="0"/>
        <v>0</v>
      </c>
      <c r="O35" s="134"/>
    </row>
    <row r="36" spans="1:15" s="29" customFormat="1" ht="30">
      <c r="A36" s="134">
        <v>1</v>
      </c>
      <c r="B36" s="45" t="s">
        <v>271</v>
      </c>
      <c r="C36" s="45" t="s">
        <v>267</v>
      </c>
      <c r="D36" s="45" t="s">
        <v>225</v>
      </c>
      <c r="E36" s="32" t="s">
        <v>100</v>
      </c>
      <c r="F36" s="158">
        <v>2775360</v>
      </c>
      <c r="G36" s="130"/>
      <c r="H36" s="130"/>
      <c r="I36" s="156" t="s">
        <v>101</v>
      </c>
      <c r="J36" s="157">
        <v>0</v>
      </c>
      <c r="K36" s="157">
        <v>0</v>
      </c>
      <c r="L36" s="159"/>
      <c r="M36" s="159"/>
      <c r="N36" s="130">
        <f t="shared" si="0"/>
        <v>0</v>
      </c>
      <c r="O36" s="45"/>
    </row>
    <row r="37" spans="1:15" s="29" customFormat="1" ht="30">
      <c r="A37" s="134">
        <v>1</v>
      </c>
      <c r="B37" s="45" t="s">
        <v>272</v>
      </c>
      <c r="C37" s="45" t="s">
        <v>267</v>
      </c>
      <c r="D37" s="45" t="s">
        <v>273</v>
      </c>
      <c r="E37" s="32" t="s">
        <v>100</v>
      </c>
      <c r="F37" s="158">
        <v>590110.5</v>
      </c>
      <c r="G37" s="130"/>
      <c r="H37" s="130"/>
      <c r="I37" s="156" t="s">
        <v>101</v>
      </c>
      <c r="J37" s="157">
        <v>0</v>
      </c>
      <c r="K37" s="157">
        <v>0</v>
      </c>
      <c r="L37" s="159"/>
      <c r="M37" s="159"/>
      <c r="N37" s="130">
        <f t="shared" si="0"/>
        <v>0</v>
      </c>
      <c r="O37" s="45"/>
    </row>
    <row r="38" spans="1:15" s="29" customFormat="1" ht="30">
      <c r="A38" s="134">
        <v>1</v>
      </c>
      <c r="B38" s="45" t="s">
        <v>274</v>
      </c>
      <c r="C38" s="45" t="s">
        <v>267</v>
      </c>
      <c r="D38" s="45" t="s">
        <v>275</v>
      </c>
      <c r="E38" s="32" t="s">
        <v>100</v>
      </c>
      <c r="F38" s="148">
        <v>315857.85000000003</v>
      </c>
      <c r="G38" s="130"/>
      <c r="H38" s="130"/>
      <c r="I38" s="156" t="s">
        <v>101</v>
      </c>
      <c r="J38" s="157">
        <v>0</v>
      </c>
      <c r="K38" s="157">
        <v>0</v>
      </c>
      <c r="L38" s="150"/>
      <c r="M38" s="150"/>
      <c r="N38" s="130">
        <f t="shared" si="0"/>
        <v>0</v>
      </c>
      <c r="O38" s="45"/>
    </row>
    <row r="39" spans="1:15" s="29" customFormat="1" ht="30">
      <c r="A39" s="134">
        <v>1</v>
      </c>
      <c r="B39" s="45" t="s">
        <v>276</v>
      </c>
      <c r="C39" s="45" t="s">
        <v>267</v>
      </c>
      <c r="D39" s="45" t="s">
        <v>277</v>
      </c>
      <c r="E39" s="32" t="s">
        <v>100</v>
      </c>
      <c r="F39" s="158">
        <v>3140858.7</v>
      </c>
      <c r="G39" s="130"/>
      <c r="H39" s="130"/>
      <c r="I39" s="156" t="s">
        <v>101</v>
      </c>
      <c r="J39" s="157">
        <v>0</v>
      </c>
      <c r="K39" s="157">
        <v>0</v>
      </c>
      <c r="L39" s="159"/>
      <c r="M39" s="159"/>
      <c r="N39" s="130">
        <f t="shared" si="0"/>
        <v>0</v>
      </c>
      <c r="O39" s="45"/>
    </row>
    <row r="40" spans="1:15" s="29" customFormat="1">
      <c r="A40" s="134">
        <v>1</v>
      </c>
      <c r="B40" s="45" t="s">
        <v>278</v>
      </c>
      <c r="C40" s="151" t="s">
        <v>279</v>
      </c>
      <c r="D40" s="45" t="s">
        <v>280</v>
      </c>
      <c r="E40" s="32" t="s">
        <v>100</v>
      </c>
      <c r="F40" s="160">
        <v>712358.32500000007</v>
      </c>
      <c r="G40" s="130"/>
      <c r="H40" s="130"/>
      <c r="I40" s="156" t="s">
        <v>101</v>
      </c>
      <c r="J40" s="157">
        <v>0</v>
      </c>
      <c r="K40" s="157">
        <v>0</v>
      </c>
      <c r="L40" s="161"/>
      <c r="M40" s="161"/>
      <c r="N40" s="135">
        <f t="shared" si="0"/>
        <v>0</v>
      </c>
      <c r="O40" s="146"/>
    </row>
    <row r="41" spans="1:15" s="29" customFormat="1">
      <c r="A41" s="134">
        <v>1</v>
      </c>
      <c r="B41" s="45" t="s">
        <v>281</v>
      </c>
      <c r="C41" s="151" t="s">
        <v>279</v>
      </c>
      <c r="D41" s="45" t="s">
        <v>282</v>
      </c>
      <c r="E41" s="32" t="s">
        <v>100</v>
      </c>
      <c r="F41" s="160">
        <v>207013.527</v>
      </c>
      <c r="G41" s="130"/>
      <c r="H41" s="130"/>
      <c r="I41" s="156" t="s">
        <v>101</v>
      </c>
      <c r="J41" s="157">
        <v>0</v>
      </c>
      <c r="K41" s="157">
        <v>0</v>
      </c>
      <c r="L41" s="161"/>
      <c r="M41" s="161"/>
      <c r="N41" s="135">
        <f t="shared" si="0"/>
        <v>0</v>
      </c>
      <c r="O41" s="146"/>
    </row>
    <row r="42" spans="1:15" s="29" customFormat="1">
      <c r="A42" s="134">
        <v>1</v>
      </c>
      <c r="B42" s="45" t="s">
        <v>283</v>
      </c>
      <c r="C42" s="151" t="s">
        <v>279</v>
      </c>
      <c r="D42" s="45" t="s">
        <v>277</v>
      </c>
      <c r="E42" s="32" t="s">
        <v>100</v>
      </c>
      <c r="F42" s="160">
        <v>374656.8</v>
      </c>
      <c r="G42" s="130"/>
      <c r="H42" s="130"/>
      <c r="I42" s="156" t="s">
        <v>101</v>
      </c>
      <c r="J42" s="157">
        <v>0</v>
      </c>
      <c r="K42" s="157">
        <v>0</v>
      </c>
      <c r="L42" s="161"/>
      <c r="M42" s="161"/>
      <c r="N42" s="135">
        <f t="shared" si="0"/>
        <v>0</v>
      </c>
      <c r="O42" s="146"/>
    </row>
    <row r="43" spans="1:15" s="29" customFormat="1" ht="45">
      <c r="A43" s="134">
        <v>1</v>
      </c>
      <c r="B43" s="45" t="s">
        <v>284</v>
      </c>
      <c r="C43" s="151" t="s">
        <v>285</v>
      </c>
      <c r="D43" s="45" t="s">
        <v>277</v>
      </c>
      <c r="E43" s="32" t="s">
        <v>100</v>
      </c>
      <c r="F43" s="160">
        <v>3494400</v>
      </c>
      <c r="G43" s="130"/>
      <c r="H43" s="130"/>
      <c r="I43" s="156" t="s">
        <v>101</v>
      </c>
      <c r="J43" s="157">
        <v>0</v>
      </c>
      <c r="K43" s="157">
        <v>0</v>
      </c>
      <c r="L43" s="161"/>
      <c r="M43" s="161"/>
      <c r="N43" s="135">
        <f t="shared" si="0"/>
        <v>0</v>
      </c>
      <c r="O43" s="146"/>
    </row>
    <row r="44" spans="1:15" s="29" customFormat="1" ht="45">
      <c r="A44" s="134">
        <v>1</v>
      </c>
      <c r="B44" s="45" t="s">
        <v>286</v>
      </c>
      <c r="C44" s="151" t="s">
        <v>285</v>
      </c>
      <c r="D44" s="45" t="s">
        <v>287</v>
      </c>
      <c r="E44" s="32" t="s">
        <v>100</v>
      </c>
      <c r="F44" s="160">
        <v>268800</v>
      </c>
      <c r="G44" s="130"/>
      <c r="H44" s="130"/>
      <c r="I44" s="156" t="s">
        <v>101</v>
      </c>
      <c r="J44" s="157">
        <v>0</v>
      </c>
      <c r="K44" s="157">
        <v>0</v>
      </c>
      <c r="L44" s="161"/>
      <c r="M44" s="161"/>
      <c r="N44" s="135">
        <f t="shared" si="0"/>
        <v>0</v>
      </c>
      <c r="O44" s="146"/>
    </row>
    <row r="45" spans="1:15" s="29" customFormat="1" ht="45">
      <c r="A45" s="134">
        <v>1</v>
      </c>
      <c r="B45" s="45" t="s">
        <v>288</v>
      </c>
      <c r="C45" s="151" t="s">
        <v>285</v>
      </c>
      <c r="D45" s="45" t="s">
        <v>225</v>
      </c>
      <c r="E45" s="32" t="s">
        <v>100</v>
      </c>
      <c r="F45" s="160">
        <v>2100000</v>
      </c>
      <c r="G45" s="130"/>
      <c r="H45" s="130"/>
      <c r="I45" s="156" t="s">
        <v>101</v>
      </c>
      <c r="J45" s="157">
        <v>0</v>
      </c>
      <c r="K45" s="157">
        <v>0</v>
      </c>
      <c r="L45" s="161"/>
      <c r="M45" s="161"/>
      <c r="N45" s="135">
        <f t="shared" si="0"/>
        <v>0</v>
      </c>
      <c r="O45" s="146"/>
    </row>
    <row r="46" spans="1:15" s="29" customFormat="1">
      <c r="A46" s="152">
        <v>2</v>
      </c>
      <c r="B46" s="45" t="s">
        <v>289</v>
      </c>
      <c r="C46" s="151" t="s">
        <v>227</v>
      </c>
      <c r="D46" s="45" t="s">
        <v>290</v>
      </c>
      <c r="E46" s="32" t="s">
        <v>100</v>
      </c>
      <c r="F46" s="158">
        <v>5515938.75</v>
      </c>
      <c r="G46" s="130"/>
      <c r="H46" s="130"/>
      <c r="I46" s="156" t="s">
        <v>101</v>
      </c>
      <c r="J46" s="157">
        <v>0</v>
      </c>
      <c r="K46" s="157">
        <v>0</v>
      </c>
      <c r="L46" s="159"/>
      <c r="M46" s="159"/>
      <c r="N46" s="130"/>
      <c r="O46" s="45"/>
    </row>
    <row r="47" spans="1:15" s="29" customFormat="1">
      <c r="A47" s="152">
        <v>2</v>
      </c>
      <c r="B47" s="45" t="s">
        <v>291</v>
      </c>
      <c r="C47" s="151" t="s">
        <v>227</v>
      </c>
      <c r="D47" s="162" t="s">
        <v>292</v>
      </c>
      <c r="E47" s="32" t="s">
        <v>100</v>
      </c>
      <c r="F47" s="148">
        <v>3081366.75</v>
      </c>
      <c r="G47" s="130"/>
      <c r="H47" s="130"/>
      <c r="I47" s="156" t="s">
        <v>101</v>
      </c>
      <c r="J47" s="157">
        <v>0</v>
      </c>
      <c r="K47" s="157">
        <v>0</v>
      </c>
      <c r="L47" s="150"/>
      <c r="M47" s="150"/>
      <c r="N47" s="130"/>
      <c r="O47" s="134"/>
    </row>
    <row r="48" spans="1:15" s="29" customFormat="1" ht="30">
      <c r="A48" s="152">
        <v>2</v>
      </c>
      <c r="B48" s="45" t="s">
        <v>293</v>
      </c>
      <c r="C48" s="151" t="s">
        <v>267</v>
      </c>
      <c r="D48" s="45" t="s">
        <v>294</v>
      </c>
      <c r="E48" s="32" t="s">
        <v>100</v>
      </c>
      <c r="F48" s="130">
        <v>389760</v>
      </c>
      <c r="G48" s="130"/>
      <c r="H48" s="130"/>
      <c r="I48" s="156" t="s">
        <v>101</v>
      </c>
      <c r="J48" s="157">
        <v>0</v>
      </c>
      <c r="K48" s="157">
        <v>0</v>
      </c>
      <c r="L48" s="150"/>
      <c r="M48" s="150"/>
      <c r="N48" s="130">
        <f>G48-L48-M48</f>
        <v>0</v>
      </c>
      <c r="O48" s="45"/>
    </row>
    <row r="49" spans="1:15" s="29" customFormat="1" ht="45">
      <c r="A49" s="152">
        <v>2</v>
      </c>
      <c r="B49" s="45" t="s">
        <v>295</v>
      </c>
      <c r="C49" s="151" t="s">
        <v>285</v>
      </c>
      <c r="D49" s="45" t="s">
        <v>296</v>
      </c>
      <c r="E49" s="32" t="s">
        <v>100</v>
      </c>
      <c r="F49" s="130">
        <v>1612800</v>
      </c>
      <c r="G49" s="130"/>
      <c r="H49" s="130"/>
      <c r="I49" s="156" t="s">
        <v>101</v>
      </c>
      <c r="J49" s="157">
        <v>0</v>
      </c>
      <c r="K49" s="157">
        <v>0</v>
      </c>
      <c r="L49" s="150"/>
      <c r="M49" s="150"/>
      <c r="N49" s="130"/>
      <c r="O49" s="45"/>
    </row>
    <row r="50" spans="1:15" s="29" customFormat="1" ht="15.75" thickBot="1">
      <c r="A50" s="152">
        <v>3</v>
      </c>
      <c r="B50" s="45" t="s">
        <v>297</v>
      </c>
      <c r="C50" s="151" t="s">
        <v>259</v>
      </c>
      <c r="D50" s="45" t="s">
        <v>298</v>
      </c>
      <c r="E50" s="32" t="s">
        <v>100</v>
      </c>
      <c r="F50" s="130">
        <v>2003705.55</v>
      </c>
      <c r="G50" s="130"/>
      <c r="H50" s="130"/>
      <c r="I50" s="156" t="s">
        <v>101</v>
      </c>
      <c r="J50" s="157">
        <v>0</v>
      </c>
      <c r="K50" s="157">
        <v>0</v>
      </c>
      <c r="L50" s="150"/>
      <c r="M50" s="150"/>
      <c r="N50" s="130"/>
      <c r="O50" s="45"/>
    </row>
    <row r="51" spans="1:15" ht="16.5" thickBot="1">
      <c r="A51" s="153"/>
      <c r="B51" s="138"/>
      <c r="C51" s="137"/>
      <c r="D51" s="137"/>
      <c r="E51" s="154" t="s">
        <v>54</v>
      </c>
      <c r="F51" s="141">
        <f>SUM(F8:F50)</f>
        <v>79923257.06400001</v>
      </c>
      <c r="G51" s="142">
        <f>SUM(G8:G50)</f>
        <v>0</v>
      </c>
      <c r="H51" s="155"/>
      <c r="I51" s="145"/>
      <c r="J51" s="143"/>
      <c r="K51" s="143"/>
      <c r="L51" s="141">
        <f>SUM(L8:L50)</f>
        <v>0</v>
      </c>
      <c r="M51" s="142">
        <f>SUM(M8:M50)</f>
        <v>0</v>
      </c>
      <c r="N51" s="144">
        <f t="shared" ref="N51" si="1">G51-L51-M51</f>
        <v>0</v>
      </c>
      <c r="O51" s="145"/>
    </row>
  </sheetData>
  <mergeCells count="18">
    <mergeCell ref="K5:K7"/>
    <mergeCell ref="L5:L7"/>
    <mergeCell ref="M5:M7"/>
    <mergeCell ref="N5:N7"/>
    <mergeCell ref="O5:O7"/>
    <mergeCell ref="J5:J7"/>
    <mergeCell ref="C1:D1"/>
    <mergeCell ref="C2:D2"/>
    <mergeCell ref="C3:D3"/>
    <mergeCell ref="A5:A7"/>
    <mergeCell ref="B5:B7"/>
    <mergeCell ref="C5:C7"/>
    <mergeCell ref="D5:D7"/>
    <mergeCell ref="E5:E7"/>
    <mergeCell ref="F5:F7"/>
    <mergeCell ref="G5:G7"/>
    <mergeCell ref="H5:H7"/>
    <mergeCell ref="I5:I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opLeftCell="A46" workbookViewId="0">
      <selection activeCell="A56" sqref="A56:XFD56"/>
    </sheetView>
  </sheetViews>
  <sheetFormatPr defaultRowHeight="15"/>
  <cols>
    <col min="2" max="2" width="15.42578125" customWidth="1"/>
    <col min="3" max="3" width="14.85546875" customWidth="1"/>
    <col min="4" max="4" width="24.85546875" customWidth="1"/>
    <col min="5" max="5" width="13.7109375" customWidth="1"/>
    <col min="6" max="6" width="18.140625" customWidth="1"/>
    <col min="7" max="7" width="20.85546875" customWidth="1"/>
    <col min="8" max="8" width="20.140625" customWidth="1"/>
    <col min="9" max="9" width="15.7109375" customWidth="1"/>
    <col min="10" max="10" width="14.42578125" customWidth="1"/>
    <col min="11" max="11" width="15.42578125" customWidth="1"/>
    <col min="12" max="12" width="15.85546875" customWidth="1"/>
    <col min="13" max="13" width="13.7109375" customWidth="1"/>
  </cols>
  <sheetData>
    <row r="1" spans="1:14" ht="15.75">
      <c r="B1" s="20" t="s">
        <v>17</v>
      </c>
      <c r="C1" s="537" t="s">
        <v>95</v>
      </c>
      <c r="D1" s="538"/>
      <c r="E1" s="21"/>
      <c r="I1" s="22"/>
    </row>
    <row r="2" spans="1:14" ht="15.75">
      <c r="B2" s="20" t="s">
        <v>19</v>
      </c>
      <c r="C2" s="539">
        <v>42996</v>
      </c>
      <c r="D2" s="540"/>
      <c r="E2" s="23"/>
      <c r="G2" s="22"/>
      <c r="H2" s="24"/>
      <c r="I2" s="22"/>
      <c r="J2" s="22"/>
      <c r="M2" s="127"/>
    </row>
    <row r="3" spans="1:14" ht="31.5">
      <c r="B3" s="20" t="s">
        <v>20</v>
      </c>
      <c r="C3" s="541" t="s">
        <v>96</v>
      </c>
      <c r="D3" s="542"/>
      <c r="E3" s="26"/>
    </row>
    <row r="4" spans="1:14" ht="15.75">
      <c r="B4" s="27"/>
      <c r="C4" s="28"/>
      <c r="D4" s="29"/>
      <c r="E4" s="29"/>
    </row>
    <row r="5" spans="1:14">
      <c r="A5" s="486" t="s">
        <v>57</v>
      </c>
      <c r="B5" s="489" t="s">
        <v>22</v>
      </c>
      <c r="C5" s="489" t="s">
        <v>23</v>
      </c>
      <c r="D5" s="489" t="s">
        <v>24</v>
      </c>
      <c r="E5" s="489" t="s">
        <v>25</v>
      </c>
      <c r="F5" s="489" t="s">
        <v>15</v>
      </c>
      <c r="G5" s="489" t="s">
        <v>58</v>
      </c>
      <c r="H5" s="486" t="s">
        <v>26</v>
      </c>
      <c r="I5" s="491" t="s">
        <v>27</v>
      </c>
      <c r="J5" s="489" t="s">
        <v>28</v>
      </c>
      <c r="K5" s="486" t="s">
        <v>13</v>
      </c>
      <c r="L5" s="486" t="s">
        <v>11</v>
      </c>
      <c r="M5" s="486" t="s">
        <v>9</v>
      </c>
      <c r="N5" s="486" t="s">
        <v>31</v>
      </c>
    </row>
    <row r="6" spans="1:14">
      <c r="A6" s="487"/>
      <c r="B6" s="489"/>
      <c r="C6" s="489"/>
      <c r="D6" s="489"/>
      <c r="E6" s="489"/>
      <c r="F6" s="489"/>
      <c r="G6" s="489"/>
      <c r="H6" s="487"/>
      <c r="I6" s="492"/>
      <c r="J6" s="489"/>
      <c r="K6" s="487"/>
      <c r="L6" s="487"/>
      <c r="M6" s="487"/>
      <c r="N6" s="487"/>
    </row>
    <row r="7" spans="1:14">
      <c r="A7" s="488"/>
      <c r="B7" s="489"/>
      <c r="C7" s="489"/>
      <c r="D7" s="489"/>
      <c r="E7" s="489"/>
      <c r="F7" s="489"/>
      <c r="G7" s="489"/>
      <c r="H7" s="488"/>
      <c r="I7" s="493"/>
      <c r="J7" s="489"/>
      <c r="K7" s="488"/>
      <c r="L7" s="488"/>
      <c r="M7" s="488"/>
      <c r="N7" s="488"/>
    </row>
    <row r="8" spans="1:14">
      <c r="A8" s="46">
        <v>1</v>
      </c>
      <c r="B8" s="45" t="s">
        <v>97</v>
      </c>
      <c r="C8" s="45" t="s">
        <v>98</v>
      </c>
      <c r="D8" s="32" t="s">
        <v>99</v>
      </c>
      <c r="E8" s="32" t="s">
        <v>100</v>
      </c>
      <c r="F8" s="129">
        <v>138611.54999999999</v>
      </c>
      <c r="G8" s="130" t="s">
        <v>101</v>
      </c>
      <c r="H8" s="45" t="s">
        <v>101</v>
      </c>
      <c r="I8" s="131">
        <v>0</v>
      </c>
      <c r="J8" s="131">
        <v>0</v>
      </c>
      <c r="K8" s="132">
        <v>0</v>
      </c>
      <c r="L8" s="132">
        <v>0</v>
      </c>
      <c r="M8" s="130" t="e">
        <f>G8-K8-L8</f>
        <v>#VALUE!</v>
      </c>
      <c r="N8" s="133"/>
    </row>
    <row r="9" spans="1:14" ht="30">
      <c r="A9" s="46">
        <v>1</v>
      </c>
      <c r="B9" s="45" t="s">
        <v>102</v>
      </c>
      <c r="C9" s="45" t="s">
        <v>98</v>
      </c>
      <c r="D9" s="32" t="s">
        <v>103</v>
      </c>
      <c r="E9" s="32" t="s">
        <v>100</v>
      </c>
      <c r="F9" s="130">
        <f>465645*1.05</f>
        <v>488927.25</v>
      </c>
      <c r="G9" s="130" t="s">
        <v>101</v>
      </c>
      <c r="H9" s="45" t="s">
        <v>101</v>
      </c>
      <c r="I9" s="131">
        <v>0</v>
      </c>
      <c r="J9" s="131">
        <v>0</v>
      </c>
      <c r="K9" s="132">
        <v>0</v>
      </c>
      <c r="L9" s="132">
        <v>0</v>
      </c>
      <c r="M9" s="130" t="e">
        <f t="shared" ref="M9:M16" si="0">G9-K9-L9</f>
        <v>#VALUE!</v>
      </c>
      <c r="N9" s="134"/>
    </row>
    <row r="10" spans="1:14" s="29" customFormat="1" ht="30">
      <c r="A10" s="134">
        <v>1</v>
      </c>
      <c r="B10" s="45" t="s">
        <v>104</v>
      </c>
      <c r="C10" s="45" t="s">
        <v>98</v>
      </c>
      <c r="D10" s="32" t="s">
        <v>105</v>
      </c>
      <c r="E10" s="32" t="s">
        <v>100</v>
      </c>
      <c r="F10" s="130">
        <f>199714*1.05</f>
        <v>209699.7</v>
      </c>
      <c r="G10" s="130" t="s">
        <v>101</v>
      </c>
      <c r="H10" s="45" t="s">
        <v>101</v>
      </c>
      <c r="I10" s="131">
        <v>0</v>
      </c>
      <c r="J10" s="131">
        <v>0</v>
      </c>
      <c r="K10" s="132">
        <v>0</v>
      </c>
      <c r="L10" s="132">
        <v>0</v>
      </c>
      <c r="M10" s="130" t="e">
        <f t="shared" si="0"/>
        <v>#VALUE!</v>
      </c>
      <c r="N10" s="45"/>
    </row>
    <row r="11" spans="1:14" ht="30">
      <c r="A11" s="46">
        <v>1</v>
      </c>
      <c r="B11" s="45" t="s">
        <v>106</v>
      </c>
      <c r="C11" s="45" t="s">
        <v>98</v>
      </c>
      <c r="D11" s="32" t="s">
        <v>107</v>
      </c>
      <c r="E11" s="32" t="s">
        <v>100</v>
      </c>
      <c r="F11" s="130">
        <f>1055420*1.05</f>
        <v>1108191</v>
      </c>
      <c r="G11" s="130" t="s">
        <v>101</v>
      </c>
      <c r="H11" s="45" t="s">
        <v>101</v>
      </c>
      <c r="I11" s="131">
        <v>0</v>
      </c>
      <c r="J11" s="131">
        <v>0</v>
      </c>
      <c r="K11" s="132">
        <v>0</v>
      </c>
      <c r="L11" s="132">
        <v>0</v>
      </c>
      <c r="M11" s="130" t="e">
        <f t="shared" si="0"/>
        <v>#VALUE!</v>
      </c>
      <c r="N11" s="134"/>
    </row>
    <row r="12" spans="1:14" s="29" customFormat="1" ht="30">
      <c r="A12" s="134">
        <v>1</v>
      </c>
      <c r="B12" s="45" t="s">
        <v>108</v>
      </c>
      <c r="C12" s="45" t="s">
        <v>109</v>
      </c>
      <c r="D12" s="32" t="s">
        <v>110</v>
      </c>
      <c r="E12" s="32" t="s">
        <v>100</v>
      </c>
      <c r="F12" s="130">
        <f>607397.8*1.05</f>
        <v>637767.69000000006</v>
      </c>
      <c r="G12" s="130" t="s">
        <v>101</v>
      </c>
      <c r="H12" s="45" t="s">
        <v>101</v>
      </c>
      <c r="I12" s="131">
        <v>0</v>
      </c>
      <c r="J12" s="131">
        <v>0</v>
      </c>
      <c r="K12" s="132">
        <v>0</v>
      </c>
      <c r="L12" s="132">
        <v>0</v>
      </c>
      <c r="M12" s="130" t="e">
        <f t="shared" si="0"/>
        <v>#VALUE!</v>
      </c>
      <c r="N12" s="134"/>
    </row>
    <row r="13" spans="1:14" ht="30">
      <c r="A13" s="46">
        <v>1</v>
      </c>
      <c r="B13" s="45" t="s">
        <v>111</v>
      </c>
      <c r="C13" s="45" t="s">
        <v>109</v>
      </c>
      <c r="D13" s="32" t="s">
        <v>112</v>
      </c>
      <c r="E13" s="32" t="s">
        <v>100</v>
      </c>
      <c r="F13" s="130">
        <f>316849.84*1.05</f>
        <v>332692.33200000005</v>
      </c>
      <c r="G13" s="130" t="s">
        <v>101</v>
      </c>
      <c r="H13" s="45" t="s">
        <v>101</v>
      </c>
      <c r="I13" s="131">
        <v>0</v>
      </c>
      <c r="J13" s="131">
        <v>0</v>
      </c>
      <c r="K13" s="132">
        <v>0</v>
      </c>
      <c r="L13" s="132">
        <v>0</v>
      </c>
      <c r="M13" s="130" t="e">
        <f t="shared" si="0"/>
        <v>#VALUE!</v>
      </c>
      <c r="N13" s="134"/>
    </row>
    <row r="14" spans="1:14" s="29" customFormat="1" ht="45">
      <c r="A14" s="134">
        <v>1</v>
      </c>
      <c r="B14" s="45" t="s">
        <v>113</v>
      </c>
      <c r="C14" s="45" t="s">
        <v>109</v>
      </c>
      <c r="D14" s="32" t="s">
        <v>114</v>
      </c>
      <c r="E14" s="32" t="s">
        <v>100</v>
      </c>
      <c r="F14" s="130">
        <f>418601.84*1.05</f>
        <v>439531.93200000003</v>
      </c>
      <c r="G14" s="130" t="s">
        <v>101</v>
      </c>
      <c r="H14" s="45" t="s">
        <v>101</v>
      </c>
      <c r="I14" s="131">
        <v>0</v>
      </c>
      <c r="J14" s="131">
        <v>0</v>
      </c>
      <c r="K14" s="132">
        <v>0</v>
      </c>
      <c r="L14" s="132">
        <v>0</v>
      </c>
      <c r="M14" s="130" t="e">
        <f t="shared" si="0"/>
        <v>#VALUE!</v>
      </c>
      <c r="N14" s="134"/>
    </row>
    <row r="15" spans="1:14" ht="135">
      <c r="A15" s="46">
        <v>1</v>
      </c>
      <c r="B15" s="45" t="s">
        <v>115</v>
      </c>
      <c r="C15" s="45" t="s">
        <v>116</v>
      </c>
      <c r="D15" s="32" t="s">
        <v>117</v>
      </c>
      <c r="E15" s="32" t="s">
        <v>100</v>
      </c>
      <c r="F15" s="130">
        <f>8228121.62*1.05</f>
        <v>8639527.7010000013</v>
      </c>
      <c r="G15" s="130" t="s">
        <v>101</v>
      </c>
      <c r="H15" s="45" t="s">
        <v>101</v>
      </c>
      <c r="I15" s="131">
        <v>0</v>
      </c>
      <c r="J15" s="131">
        <v>0</v>
      </c>
      <c r="K15" s="132">
        <v>0</v>
      </c>
      <c r="L15" s="132">
        <v>0</v>
      </c>
      <c r="M15" s="130" t="e">
        <f t="shared" si="0"/>
        <v>#VALUE!</v>
      </c>
      <c r="N15" s="133"/>
    </row>
    <row r="16" spans="1:14" s="29" customFormat="1" ht="60">
      <c r="A16" s="134">
        <v>1</v>
      </c>
      <c r="B16" s="45" t="s">
        <v>118</v>
      </c>
      <c r="C16" s="45" t="s">
        <v>116</v>
      </c>
      <c r="D16" s="32" t="s">
        <v>119</v>
      </c>
      <c r="E16" s="32" t="s">
        <v>100</v>
      </c>
      <c r="F16" s="130">
        <f>390902.73*1.05</f>
        <v>410447.8665</v>
      </c>
      <c r="G16" s="130" t="s">
        <v>101</v>
      </c>
      <c r="H16" s="45" t="s">
        <v>101</v>
      </c>
      <c r="I16" s="131">
        <v>0</v>
      </c>
      <c r="J16" s="131">
        <v>0</v>
      </c>
      <c r="K16" s="132">
        <v>0</v>
      </c>
      <c r="L16" s="132">
        <v>0</v>
      </c>
      <c r="M16" s="130" t="e">
        <f t="shared" si="0"/>
        <v>#VALUE!</v>
      </c>
      <c r="N16" s="45"/>
    </row>
    <row r="17" spans="1:14" ht="30">
      <c r="A17" s="46">
        <v>1</v>
      </c>
      <c r="B17" s="45" t="s">
        <v>120</v>
      </c>
      <c r="C17" s="45" t="s">
        <v>121</v>
      </c>
      <c r="D17" s="32" t="s">
        <v>122</v>
      </c>
      <c r="E17" s="32" t="s">
        <v>100</v>
      </c>
      <c r="F17" s="130">
        <f>1341108*1.05</f>
        <v>1408163.4000000001</v>
      </c>
      <c r="G17" s="130" t="s">
        <v>101</v>
      </c>
      <c r="H17" s="45" t="s">
        <v>101</v>
      </c>
      <c r="I17" s="131">
        <v>0</v>
      </c>
      <c r="J17" s="131">
        <v>0</v>
      </c>
      <c r="K17" s="132">
        <v>0</v>
      </c>
      <c r="L17" s="132">
        <v>0</v>
      </c>
      <c r="M17" s="130" t="e">
        <f>G17-K17-L17</f>
        <v>#VALUE!</v>
      </c>
      <c r="N17" s="134"/>
    </row>
    <row r="18" spans="1:14" s="29" customFormat="1">
      <c r="A18" s="134">
        <v>1</v>
      </c>
      <c r="B18" s="45" t="s">
        <v>123</v>
      </c>
      <c r="C18" s="45" t="s">
        <v>124</v>
      </c>
      <c r="D18" s="32" t="s">
        <v>125</v>
      </c>
      <c r="E18" s="32" t="s">
        <v>100</v>
      </c>
      <c r="F18" s="130">
        <f>3238886.4*1.05</f>
        <v>3400830.72</v>
      </c>
      <c r="G18" s="130" t="s">
        <v>101</v>
      </c>
      <c r="H18" s="45" t="s">
        <v>101</v>
      </c>
      <c r="I18" s="131">
        <v>0</v>
      </c>
      <c r="J18" s="131">
        <v>0</v>
      </c>
      <c r="K18" s="132">
        <v>0</v>
      </c>
      <c r="L18" s="132">
        <v>0</v>
      </c>
      <c r="M18" s="130" t="e">
        <f t="shared" ref="M18:M56" si="1">G18-K18-L18</f>
        <v>#VALUE!</v>
      </c>
      <c r="N18" s="45"/>
    </row>
    <row r="19" spans="1:14" ht="30">
      <c r="A19" s="46">
        <v>1</v>
      </c>
      <c r="B19" s="45" t="s">
        <v>126</v>
      </c>
      <c r="C19" s="45" t="s">
        <v>124</v>
      </c>
      <c r="D19" s="32" t="s">
        <v>127</v>
      </c>
      <c r="E19" s="32" t="s">
        <v>100</v>
      </c>
      <c r="F19" s="130">
        <f>2380800*1.05</f>
        <v>2499840</v>
      </c>
      <c r="G19" s="130" t="s">
        <v>101</v>
      </c>
      <c r="H19" s="45" t="s">
        <v>101</v>
      </c>
      <c r="I19" s="131">
        <v>0</v>
      </c>
      <c r="J19" s="131">
        <v>0</v>
      </c>
      <c r="K19" s="132">
        <v>0</v>
      </c>
      <c r="L19" s="132">
        <v>0</v>
      </c>
      <c r="M19" s="130" t="e">
        <f t="shared" si="1"/>
        <v>#VALUE!</v>
      </c>
      <c r="N19" s="134"/>
    </row>
    <row r="20" spans="1:14" s="29" customFormat="1">
      <c r="A20" s="134">
        <v>1</v>
      </c>
      <c r="B20" s="45" t="s">
        <v>128</v>
      </c>
      <c r="C20" s="45" t="s">
        <v>124</v>
      </c>
      <c r="D20" s="32" t="s">
        <v>129</v>
      </c>
      <c r="E20" s="32" t="s">
        <v>100</v>
      </c>
      <c r="F20" s="130">
        <f>1939200*1.05</f>
        <v>2036160</v>
      </c>
      <c r="G20" s="130" t="s">
        <v>101</v>
      </c>
      <c r="H20" s="45" t="s">
        <v>101</v>
      </c>
      <c r="I20" s="131">
        <v>0</v>
      </c>
      <c r="J20" s="131">
        <v>0</v>
      </c>
      <c r="K20" s="132">
        <v>0</v>
      </c>
      <c r="L20" s="132">
        <v>0</v>
      </c>
      <c r="M20" s="130" t="e">
        <f t="shared" si="1"/>
        <v>#VALUE!</v>
      </c>
      <c r="N20" s="45"/>
    </row>
    <row r="21" spans="1:14" ht="60">
      <c r="A21" s="46">
        <v>1</v>
      </c>
      <c r="B21" s="45" t="s">
        <v>130</v>
      </c>
      <c r="C21" s="45" t="s">
        <v>131</v>
      </c>
      <c r="D21" s="32" t="s">
        <v>132</v>
      </c>
      <c r="E21" s="32" t="s">
        <v>100</v>
      </c>
      <c r="F21" s="130">
        <f>323711.48*1.05</f>
        <v>339897.054</v>
      </c>
      <c r="G21" s="130" t="s">
        <v>101</v>
      </c>
      <c r="H21" s="45" t="s">
        <v>101</v>
      </c>
      <c r="I21" s="131">
        <v>0</v>
      </c>
      <c r="J21" s="131">
        <v>0</v>
      </c>
      <c r="K21" s="132">
        <v>0</v>
      </c>
      <c r="L21" s="132">
        <v>0</v>
      </c>
      <c r="M21" s="130" t="e">
        <f t="shared" si="1"/>
        <v>#VALUE!</v>
      </c>
      <c r="N21" s="134"/>
    </row>
    <row r="22" spans="1:14" s="29" customFormat="1" ht="30">
      <c r="A22" s="134">
        <v>1</v>
      </c>
      <c r="B22" s="45" t="s">
        <v>133</v>
      </c>
      <c r="C22" s="45" t="s">
        <v>131</v>
      </c>
      <c r="D22" s="32" t="s">
        <v>134</v>
      </c>
      <c r="E22" s="32" t="s">
        <v>100</v>
      </c>
      <c r="F22" s="130">
        <f>226882.58*1.05</f>
        <v>238226.709</v>
      </c>
      <c r="G22" s="130" t="s">
        <v>101</v>
      </c>
      <c r="H22" s="45" t="s">
        <v>101</v>
      </c>
      <c r="I22" s="131">
        <v>0</v>
      </c>
      <c r="J22" s="131">
        <v>0</v>
      </c>
      <c r="K22" s="132">
        <v>0</v>
      </c>
      <c r="L22" s="132">
        <v>0</v>
      </c>
      <c r="M22" s="130" t="e">
        <f t="shared" si="1"/>
        <v>#VALUE!</v>
      </c>
      <c r="N22" s="134"/>
    </row>
    <row r="23" spans="1:14" ht="30">
      <c r="A23" s="46">
        <v>1</v>
      </c>
      <c r="B23" s="45" t="s">
        <v>135</v>
      </c>
      <c r="C23" s="45" t="s">
        <v>131</v>
      </c>
      <c r="D23" s="32" t="s">
        <v>136</v>
      </c>
      <c r="E23" s="32" t="s">
        <v>100</v>
      </c>
      <c r="F23" s="130">
        <f>1618874.4*1.05</f>
        <v>1699818.1199999999</v>
      </c>
      <c r="G23" s="130" t="s">
        <v>101</v>
      </c>
      <c r="H23" s="45" t="s">
        <v>101</v>
      </c>
      <c r="I23" s="131">
        <v>0</v>
      </c>
      <c r="J23" s="131">
        <v>0</v>
      </c>
      <c r="K23" s="132">
        <v>0</v>
      </c>
      <c r="L23" s="132">
        <v>0</v>
      </c>
      <c r="M23" s="130" t="e">
        <f t="shared" si="1"/>
        <v>#VALUE!</v>
      </c>
      <c r="N23" s="134"/>
    </row>
    <row r="24" spans="1:14" s="29" customFormat="1" ht="75">
      <c r="A24" s="134">
        <v>1</v>
      </c>
      <c r="B24" s="45" t="s">
        <v>137</v>
      </c>
      <c r="C24" s="45" t="s">
        <v>131</v>
      </c>
      <c r="D24" s="32" t="s">
        <v>138</v>
      </c>
      <c r="E24" s="32" t="s">
        <v>100</v>
      </c>
      <c r="F24" s="130">
        <f>299699.85*1.05</f>
        <v>314684.84249999997</v>
      </c>
      <c r="G24" s="130" t="s">
        <v>101</v>
      </c>
      <c r="H24" s="45" t="s">
        <v>101</v>
      </c>
      <c r="I24" s="131">
        <v>0</v>
      </c>
      <c r="J24" s="131">
        <v>0</v>
      </c>
      <c r="K24" s="132">
        <v>0</v>
      </c>
      <c r="L24" s="132">
        <v>0</v>
      </c>
      <c r="M24" s="130" t="e">
        <f t="shared" si="1"/>
        <v>#VALUE!</v>
      </c>
      <c r="N24" s="134"/>
    </row>
    <row r="25" spans="1:14" ht="30">
      <c r="A25" s="46">
        <v>1</v>
      </c>
      <c r="B25" s="45" t="s">
        <v>139</v>
      </c>
      <c r="C25" s="45" t="s">
        <v>140</v>
      </c>
      <c r="D25" s="32" t="s">
        <v>141</v>
      </c>
      <c r="E25" s="32" t="s">
        <v>100</v>
      </c>
      <c r="F25" s="130">
        <f>8315484*1.05</f>
        <v>8731258.2000000011</v>
      </c>
      <c r="G25" s="130" t="s">
        <v>101</v>
      </c>
      <c r="H25" s="45" t="s">
        <v>101</v>
      </c>
      <c r="I25" s="131">
        <v>0</v>
      </c>
      <c r="J25" s="131">
        <v>0</v>
      </c>
      <c r="K25" s="132">
        <v>0</v>
      </c>
      <c r="L25" s="132">
        <v>0</v>
      </c>
      <c r="M25" s="130" t="e">
        <f t="shared" si="1"/>
        <v>#VALUE!</v>
      </c>
      <c r="N25" s="133"/>
    </row>
    <row r="26" spans="1:14" s="29" customFormat="1" ht="30">
      <c r="A26" s="134">
        <v>1</v>
      </c>
      <c r="B26" s="45" t="s">
        <v>142</v>
      </c>
      <c r="C26" s="45" t="s">
        <v>140</v>
      </c>
      <c r="D26" s="32" t="s">
        <v>143</v>
      </c>
      <c r="E26" s="32" t="s">
        <v>100</v>
      </c>
      <c r="F26" s="130">
        <f>150000*1.05</f>
        <v>157500</v>
      </c>
      <c r="G26" s="130" t="s">
        <v>101</v>
      </c>
      <c r="H26" s="45" t="s">
        <v>101</v>
      </c>
      <c r="I26" s="131">
        <v>0</v>
      </c>
      <c r="J26" s="131">
        <v>0</v>
      </c>
      <c r="K26" s="132">
        <v>0</v>
      </c>
      <c r="L26" s="132">
        <v>0</v>
      </c>
      <c r="M26" s="130" t="e">
        <f t="shared" si="1"/>
        <v>#VALUE!</v>
      </c>
      <c r="N26" s="45"/>
    </row>
    <row r="27" spans="1:14">
      <c r="A27" s="46">
        <v>1</v>
      </c>
      <c r="B27" s="45" t="s">
        <v>144</v>
      </c>
      <c r="C27" s="45" t="s">
        <v>145</v>
      </c>
      <c r="D27" s="32" t="s">
        <v>146</v>
      </c>
      <c r="E27" s="32" t="s">
        <v>100</v>
      </c>
      <c r="F27" s="130">
        <f>2110500*1.05</f>
        <v>2216025</v>
      </c>
      <c r="G27" s="130" t="s">
        <v>101</v>
      </c>
      <c r="H27" s="45" t="s">
        <v>101</v>
      </c>
      <c r="I27" s="131">
        <v>0</v>
      </c>
      <c r="J27" s="131">
        <v>0</v>
      </c>
      <c r="K27" s="132">
        <v>0</v>
      </c>
      <c r="L27" s="132">
        <v>0</v>
      </c>
      <c r="M27" s="130" t="e">
        <f t="shared" si="1"/>
        <v>#VALUE!</v>
      </c>
      <c r="N27" s="133"/>
    </row>
    <row r="28" spans="1:14" s="29" customFormat="1" ht="30">
      <c r="A28" s="134">
        <v>1</v>
      </c>
      <c r="B28" s="45" t="s">
        <v>147</v>
      </c>
      <c r="C28" s="45" t="s">
        <v>145</v>
      </c>
      <c r="D28" s="32" t="s">
        <v>148</v>
      </c>
      <c r="E28" s="32" t="s">
        <v>100</v>
      </c>
      <c r="F28" s="130">
        <f>572500*1.05</f>
        <v>601125</v>
      </c>
      <c r="G28" s="130" t="s">
        <v>101</v>
      </c>
      <c r="H28" s="45" t="s">
        <v>101</v>
      </c>
      <c r="I28" s="131">
        <v>0</v>
      </c>
      <c r="J28" s="131">
        <v>0</v>
      </c>
      <c r="K28" s="132">
        <v>0</v>
      </c>
      <c r="L28" s="132">
        <v>0</v>
      </c>
      <c r="M28" s="130" t="e">
        <f t="shared" si="1"/>
        <v>#VALUE!</v>
      </c>
      <c r="N28" s="45"/>
    </row>
    <row r="29" spans="1:14" s="29" customFormat="1" ht="45">
      <c r="A29" s="134">
        <v>1</v>
      </c>
      <c r="B29" s="45" t="s">
        <v>149</v>
      </c>
      <c r="C29" s="45" t="s">
        <v>150</v>
      </c>
      <c r="D29" s="32" t="s">
        <v>151</v>
      </c>
      <c r="E29" s="32" t="s">
        <v>100</v>
      </c>
      <c r="F29" s="130">
        <f>272122.97*1.05</f>
        <v>285729.11849999998</v>
      </c>
      <c r="G29" s="130" t="s">
        <v>101</v>
      </c>
      <c r="H29" s="45" t="s">
        <v>101</v>
      </c>
      <c r="I29" s="131">
        <v>0</v>
      </c>
      <c r="J29" s="131">
        <v>0</v>
      </c>
      <c r="K29" s="132">
        <v>0</v>
      </c>
      <c r="L29" s="132">
        <v>0</v>
      </c>
      <c r="M29" s="130" t="e">
        <f t="shared" si="1"/>
        <v>#VALUE!</v>
      </c>
      <c r="N29" s="45"/>
    </row>
    <row r="30" spans="1:14" s="29" customFormat="1" ht="30">
      <c r="A30" s="134">
        <v>1</v>
      </c>
      <c r="B30" s="45" t="s">
        <v>152</v>
      </c>
      <c r="C30" s="45" t="s">
        <v>150</v>
      </c>
      <c r="D30" s="32" t="s">
        <v>153</v>
      </c>
      <c r="E30" s="32" t="s">
        <v>100</v>
      </c>
      <c r="F30" s="130">
        <f>157568.04*1.05</f>
        <v>165446.44200000001</v>
      </c>
      <c r="G30" s="130" t="s">
        <v>101</v>
      </c>
      <c r="H30" s="45" t="s">
        <v>101</v>
      </c>
      <c r="I30" s="131">
        <v>0</v>
      </c>
      <c r="J30" s="131">
        <v>0</v>
      </c>
      <c r="K30" s="132">
        <v>0</v>
      </c>
      <c r="L30" s="132">
        <v>0</v>
      </c>
      <c r="M30" s="135" t="e">
        <f t="shared" si="1"/>
        <v>#VALUE!</v>
      </c>
      <c r="N30" s="146"/>
    </row>
    <row r="31" spans="1:14" ht="60">
      <c r="A31" s="46">
        <v>1</v>
      </c>
      <c r="B31" s="45" t="s">
        <v>154</v>
      </c>
      <c r="C31" s="45" t="s">
        <v>150</v>
      </c>
      <c r="D31" s="32" t="s">
        <v>155</v>
      </c>
      <c r="E31" s="32" t="s">
        <v>100</v>
      </c>
      <c r="F31" s="130">
        <f>3018517.05*1.05</f>
        <v>3169442.9024999999</v>
      </c>
      <c r="G31" s="130" t="s">
        <v>101</v>
      </c>
      <c r="H31" s="45" t="s">
        <v>101</v>
      </c>
      <c r="I31" s="131">
        <v>0</v>
      </c>
      <c r="J31" s="131">
        <v>0</v>
      </c>
      <c r="K31" s="132">
        <v>0</v>
      </c>
      <c r="L31" s="132">
        <v>0</v>
      </c>
      <c r="M31" s="130" t="e">
        <f t="shared" si="1"/>
        <v>#VALUE!</v>
      </c>
      <c r="N31" s="134"/>
    </row>
    <row r="32" spans="1:14" s="29" customFormat="1" ht="30">
      <c r="A32" s="134">
        <v>1</v>
      </c>
      <c r="B32" s="45" t="s">
        <v>156</v>
      </c>
      <c r="C32" s="45" t="s">
        <v>157</v>
      </c>
      <c r="D32" s="32" t="s">
        <v>158</v>
      </c>
      <c r="E32" s="32" t="s">
        <v>100</v>
      </c>
      <c r="F32" s="130">
        <f>2465625.15*1.05</f>
        <v>2588906.4075000002</v>
      </c>
      <c r="G32" s="130" t="s">
        <v>101</v>
      </c>
      <c r="H32" s="45" t="s">
        <v>101</v>
      </c>
      <c r="I32" s="131">
        <v>0</v>
      </c>
      <c r="J32" s="131">
        <v>0</v>
      </c>
      <c r="K32" s="132">
        <v>0</v>
      </c>
      <c r="L32" s="132">
        <v>0</v>
      </c>
      <c r="M32" s="130" t="e">
        <f t="shared" si="1"/>
        <v>#VALUE!</v>
      </c>
      <c r="N32" s="45"/>
    </row>
    <row r="33" spans="1:14" ht="30">
      <c r="A33" s="46">
        <v>1</v>
      </c>
      <c r="B33" s="45" t="s">
        <v>159</v>
      </c>
      <c r="C33" s="45" t="s">
        <v>157</v>
      </c>
      <c r="D33" s="32" t="s">
        <v>160</v>
      </c>
      <c r="E33" s="32" t="s">
        <v>100</v>
      </c>
      <c r="F33" s="130">
        <f>4929651*1.05</f>
        <v>5176133.55</v>
      </c>
      <c r="G33" s="130" t="s">
        <v>101</v>
      </c>
      <c r="H33" s="45" t="s">
        <v>101</v>
      </c>
      <c r="I33" s="131">
        <v>0</v>
      </c>
      <c r="J33" s="131">
        <v>0</v>
      </c>
      <c r="K33" s="132">
        <v>0</v>
      </c>
      <c r="L33" s="132">
        <v>0</v>
      </c>
      <c r="M33" s="130" t="e">
        <f t="shared" si="1"/>
        <v>#VALUE!</v>
      </c>
      <c r="N33" s="133"/>
    </row>
    <row r="34" spans="1:14" s="29" customFormat="1" ht="30">
      <c r="A34" s="134">
        <v>1</v>
      </c>
      <c r="B34" s="45" t="s">
        <v>161</v>
      </c>
      <c r="C34" s="45" t="s">
        <v>162</v>
      </c>
      <c r="D34" s="32" t="s">
        <v>163</v>
      </c>
      <c r="E34" s="32" t="s">
        <v>100</v>
      </c>
      <c r="F34" s="130">
        <f>2785000*1.05</f>
        <v>2924250</v>
      </c>
      <c r="G34" s="130" t="s">
        <v>101</v>
      </c>
      <c r="H34" s="45" t="s">
        <v>101</v>
      </c>
      <c r="I34" s="131">
        <v>0</v>
      </c>
      <c r="J34" s="131">
        <v>0</v>
      </c>
      <c r="K34" s="132">
        <v>0</v>
      </c>
      <c r="L34" s="132">
        <v>0</v>
      </c>
      <c r="M34" s="130" t="e">
        <f t="shared" si="1"/>
        <v>#VALUE!</v>
      </c>
      <c r="N34" s="45"/>
    </row>
    <row r="35" spans="1:14" ht="30">
      <c r="A35" s="46">
        <v>1</v>
      </c>
      <c r="B35" s="45" t="s">
        <v>164</v>
      </c>
      <c r="C35" s="45" t="s">
        <v>162</v>
      </c>
      <c r="D35" s="32" t="s">
        <v>165</v>
      </c>
      <c r="E35" s="32" t="s">
        <v>100</v>
      </c>
      <c r="F35" s="130">
        <f>962485*1.05</f>
        <v>1010609.25</v>
      </c>
      <c r="G35" s="130" t="s">
        <v>101</v>
      </c>
      <c r="H35" s="45" t="s">
        <v>101</v>
      </c>
      <c r="I35" s="131">
        <v>0</v>
      </c>
      <c r="J35" s="131">
        <v>0</v>
      </c>
      <c r="K35" s="132">
        <v>0</v>
      </c>
      <c r="L35" s="132">
        <v>0</v>
      </c>
      <c r="M35" s="130" t="e">
        <f t="shared" si="1"/>
        <v>#VALUE!</v>
      </c>
      <c r="N35" s="133"/>
    </row>
    <row r="36" spans="1:14" s="29" customFormat="1" ht="30">
      <c r="A36" s="134">
        <v>1</v>
      </c>
      <c r="B36" s="45" t="s">
        <v>166</v>
      </c>
      <c r="C36" s="45" t="s">
        <v>162</v>
      </c>
      <c r="D36" s="32" t="s">
        <v>167</v>
      </c>
      <c r="E36" s="32" t="s">
        <v>100</v>
      </c>
      <c r="F36" s="130">
        <f>419550*1.05</f>
        <v>440527.5</v>
      </c>
      <c r="G36" s="130" t="s">
        <v>101</v>
      </c>
      <c r="H36" s="45" t="s">
        <v>101</v>
      </c>
      <c r="I36" s="131">
        <v>0</v>
      </c>
      <c r="J36" s="131">
        <v>0</v>
      </c>
      <c r="K36" s="132">
        <v>0</v>
      </c>
      <c r="L36" s="132">
        <v>0</v>
      </c>
      <c r="M36" s="130" t="e">
        <f t="shared" si="1"/>
        <v>#VALUE!</v>
      </c>
      <c r="N36" s="45"/>
    </row>
    <row r="37" spans="1:14" ht="30">
      <c r="A37" s="46">
        <v>1</v>
      </c>
      <c r="B37" s="45" t="s">
        <v>168</v>
      </c>
      <c r="C37" s="45" t="s">
        <v>162</v>
      </c>
      <c r="D37" s="32" t="s">
        <v>169</v>
      </c>
      <c r="E37" s="32" t="s">
        <v>100</v>
      </c>
      <c r="F37" s="130">
        <f>1143050*1.05</f>
        <v>1200202.5</v>
      </c>
      <c r="G37" s="130" t="s">
        <v>101</v>
      </c>
      <c r="H37" s="45" t="s">
        <v>101</v>
      </c>
      <c r="I37" s="131">
        <v>0</v>
      </c>
      <c r="J37" s="131">
        <v>0</v>
      </c>
      <c r="K37" s="132">
        <v>0</v>
      </c>
      <c r="L37" s="132">
        <v>0</v>
      </c>
      <c r="M37" s="135" t="e">
        <f t="shared" si="1"/>
        <v>#VALUE!</v>
      </c>
      <c r="N37" s="136"/>
    </row>
    <row r="38" spans="1:14" s="29" customFormat="1" ht="135">
      <c r="A38" s="134">
        <v>1</v>
      </c>
      <c r="B38" s="45" t="s">
        <v>170</v>
      </c>
      <c r="C38" s="45" t="s">
        <v>171</v>
      </c>
      <c r="D38" s="32" t="s">
        <v>172</v>
      </c>
      <c r="E38" s="32" t="s">
        <v>100</v>
      </c>
      <c r="F38" s="130">
        <f>607465*1.05</f>
        <v>637838.25</v>
      </c>
      <c r="G38" s="130" t="s">
        <v>101</v>
      </c>
      <c r="H38" s="45" t="s">
        <v>101</v>
      </c>
      <c r="I38" s="131">
        <v>0</v>
      </c>
      <c r="J38" s="131">
        <v>0</v>
      </c>
      <c r="K38" s="132">
        <v>0</v>
      </c>
      <c r="L38" s="132">
        <v>0</v>
      </c>
      <c r="M38" s="130" t="e">
        <f t="shared" si="1"/>
        <v>#VALUE!</v>
      </c>
      <c r="N38" s="45"/>
    </row>
    <row r="39" spans="1:14" ht="30">
      <c r="A39" s="46">
        <v>1</v>
      </c>
      <c r="B39" s="45" t="s">
        <v>173</v>
      </c>
      <c r="C39" s="45" t="s">
        <v>171</v>
      </c>
      <c r="D39" s="32" t="s">
        <v>174</v>
      </c>
      <c r="E39" s="32" t="s">
        <v>100</v>
      </c>
      <c r="F39" s="130">
        <f>1531156*1.05</f>
        <v>1607713.8</v>
      </c>
      <c r="G39" s="130" t="s">
        <v>101</v>
      </c>
      <c r="H39" s="45" t="s">
        <v>101</v>
      </c>
      <c r="I39" s="131">
        <v>0</v>
      </c>
      <c r="J39" s="131">
        <v>0</v>
      </c>
      <c r="K39" s="132">
        <v>0</v>
      </c>
      <c r="L39" s="132">
        <v>0</v>
      </c>
      <c r="M39" s="130" t="e">
        <f t="shared" si="1"/>
        <v>#VALUE!</v>
      </c>
      <c r="N39" s="133"/>
    </row>
    <row r="40" spans="1:14" s="29" customFormat="1" ht="30">
      <c r="A40" s="134">
        <v>2</v>
      </c>
      <c r="B40" s="45" t="s">
        <v>175</v>
      </c>
      <c r="C40" s="45" t="s">
        <v>98</v>
      </c>
      <c r="D40" s="32" t="s">
        <v>176</v>
      </c>
      <c r="E40" s="32" t="s">
        <v>100</v>
      </c>
      <c r="F40" s="130">
        <f>1307580*1.05</f>
        <v>1372959</v>
      </c>
      <c r="G40" s="130" t="s">
        <v>101</v>
      </c>
      <c r="H40" s="45" t="s">
        <v>101</v>
      </c>
      <c r="I40" s="131">
        <v>0</v>
      </c>
      <c r="J40" s="131">
        <v>0</v>
      </c>
      <c r="K40" s="132">
        <v>0</v>
      </c>
      <c r="L40" s="132">
        <v>0</v>
      </c>
      <c r="M40" s="130" t="e">
        <f t="shared" si="1"/>
        <v>#VALUE!</v>
      </c>
      <c r="N40" s="45"/>
    </row>
    <row r="41" spans="1:14" ht="45">
      <c r="A41" s="46">
        <v>2</v>
      </c>
      <c r="B41" s="45" t="s">
        <v>177</v>
      </c>
      <c r="C41" s="45" t="s">
        <v>98</v>
      </c>
      <c r="D41" s="32" t="s">
        <v>178</v>
      </c>
      <c r="E41" s="32" t="s">
        <v>100</v>
      </c>
      <c r="F41" s="130">
        <f>2612410*1.05</f>
        <v>2743030.5</v>
      </c>
      <c r="G41" s="130" t="s">
        <v>101</v>
      </c>
      <c r="H41" s="45" t="s">
        <v>101</v>
      </c>
      <c r="I41" s="131">
        <v>0</v>
      </c>
      <c r="J41" s="131">
        <v>0</v>
      </c>
      <c r="K41" s="132">
        <v>0</v>
      </c>
      <c r="L41" s="132">
        <v>0</v>
      </c>
      <c r="M41" s="135" t="e">
        <f t="shared" si="1"/>
        <v>#VALUE!</v>
      </c>
      <c r="N41" s="136"/>
    </row>
    <row r="42" spans="1:14" s="29" customFormat="1" ht="60">
      <c r="A42" s="134">
        <v>2</v>
      </c>
      <c r="B42" s="45" t="s">
        <v>179</v>
      </c>
      <c r="C42" s="45" t="s">
        <v>109</v>
      </c>
      <c r="D42" s="32" t="s">
        <v>180</v>
      </c>
      <c r="E42" s="32" t="s">
        <v>100</v>
      </c>
      <c r="F42" s="130">
        <f>7574970.88*1.05</f>
        <v>7953719.4240000006</v>
      </c>
      <c r="G42" s="130" t="s">
        <v>101</v>
      </c>
      <c r="H42" s="45" t="s">
        <v>101</v>
      </c>
      <c r="I42" s="131">
        <v>0</v>
      </c>
      <c r="J42" s="131">
        <v>0</v>
      </c>
      <c r="K42" s="132">
        <v>0</v>
      </c>
      <c r="L42" s="132">
        <v>0</v>
      </c>
      <c r="M42" s="130" t="e">
        <f t="shared" si="1"/>
        <v>#VALUE!</v>
      </c>
      <c r="N42" s="134"/>
    </row>
    <row r="43" spans="1:14" ht="30">
      <c r="A43" s="46">
        <v>2</v>
      </c>
      <c r="B43" s="45" t="s">
        <v>181</v>
      </c>
      <c r="C43" s="45" t="s">
        <v>109</v>
      </c>
      <c r="D43" s="32" t="s">
        <v>182</v>
      </c>
      <c r="E43" s="32" t="s">
        <v>100</v>
      </c>
      <c r="F43" s="130">
        <f>1127840.88*1.05</f>
        <v>1184232.9239999999</v>
      </c>
      <c r="G43" s="130" t="s">
        <v>101</v>
      </c>
      <c r="H43" s="45" t="s">
        <v>101</v>
      </c>
      <c r="I43" s="131">
        <v>0</v>
      </c>
      <c r="J43" s="131">
        <v>0</v>
      </c>
      <c r="K43" s="132">
        <v>0</v>
      </c>
      <c r="L43" s="132">
        <v>0</v>
      </c>
      <c r="M43" s="130" t="e">
        <f t="shared" si="1"/>
        <v>#VALUE!</v>
      </c>
      <c r="N43" s="133"/>
    </row>
    <row r="44" spans="1:14" s="29" customFormat="1" ht="30">
      <c r="A44" s="134">
        <v>2</v>
      </c>
      <c r="B44" s="45" t="s">
        <v>183</v>
      </c>
      <c r="C44" s="45" t="s">
        <v>121</v>
      </c>
      <c r="D44" s="32" t="s">
        <v>184</v>
      </c>
      <c r="E44" s="32" t="s">
        <v>100</v>
      </c>
      <c r="F44" s="130">
        <f>536400*1.05</f>
        <v>563220</v>
      </c>
      <c r="G44" s="130" t="s">
        <v>101</v>
      </c>
      <c r="H44" s="45" t="s">
        <v>101</v>
      </c>
      <c r="I44" s="131">
        <v>0</v>
      </c>
      <c r="J44" s="131">
        <v>0</v>
      </c>
      <c r="K44" s="132">
        <v>0</v>
      </c>
      <c r="L44" s="132">
        <v>0</v>
      </c>
      <c r="M44" s="130" t="e">
        <f t="shared" si="1"/>
        <v>#VALUE!</v>
      </c>
      <c r="N44" s="45"/>
    </row>
    <row r="45" spans="1:14" ht="30">
      <c r="A45" s="46">
        <v>2</v>
      </c>
      <c r="B45" s="45" t="s">
        <v>185</v>
      </c>
      <c r="C45" s="45" t="s">
        <v>124</v>
      </c>
      <c r="D45" s="32" t="s">
        <v>186</v>
      </c>
      <c r="E45" s="32" t="s">
        <v>100</v>
      </c>
      <c r="F45" s="130">
        <v>2123520</v>
      </c>
      <c r="G45" s="130" t="s">
        <v>101</v>
      </c>
      <c r="H45" s="45" t="s">
        <v>101</v>
      </c>
      <c r="I45" s="131">
        <v>0</v>
      </c>
      <c r="J45" s="131">
        <v>0</v>
      </c>
      <c r="K45" s="132">
        <v>0</v>
      </c>
      <c r="L45" s="132">
        <v>0</v>
      </c>
      <c r="M45" s="130" t="e">
        <f t="shared" si="1"/>
        <v>#VALUE!</v>
      </c>
      <c r="N45" s="136"/>
    </row>
    <row r="46" spans="1:14" s="29" customFormat="1" ht="30">
      <c r="A46" s="134">
        <v>2</v>
      </c>
      <c r="B46" s="45" t="s">
        <v>187</v>
      </c>
      <c r="C46" s="45" t="s">
        <v>131</v>
      </c>
      <c r="D46" s="32" t="s">
        <v>188</v>
      </c>
      <c r="E46" s="32" t="s">
        <v>100</v>
      </c>
      <c r="F46" s="130">
        <f>154418.96*1.05</f>
        <v>162139.908</v>
      </c>
      <c r="G46" s="130" t="s">
        <v>101</v>
      </c>
      <c r="H46" s="45" t="s">
        <v>101</v>
      </c>
      <c r="I46" s="131">
        <v>0</v>
      </c>
      <c r="J46" s="131">
        <v>0</v>
      </c>
      <c r="K46" s="132">
        <v>0</v>
      </c>
      <c r="L46" s="132">
        <v>0</v>
      </c>
      <c r="M46" s="135" t="e">
        <f t="shared" si="1"/>
        <v>#VALUE!</v>
      </c>
      <c r="N46" s="146"/>
    </row>
    <row r="47" spans="1:14">
      <c r="A47" s="46">
        <v>2</v>
      </c>
      <c r="B47" s="45" t="s">
        <v>189</v>
      </c>
      <c r="C47" s="45" t="s">
        <v>150</v>
      </c>
      <c r="D47" s="32" t="s">
        <v>146</v>
      </c>
      <c r="E47" s="32" t="s">
        <v>100</v>
      </c>
      <c r="F47" s="130">
        <v>3751024.46</v>
      </c>
      <c r="G47" s="130" t="s">
        <v>101</v>
      </c>
      <c r="H47" s="45" t="s">
        <v>101</v>
      </c>
      <c r="I47" s="131">
        <v>0</v>
      </c>
      <c r="J47" s="131">
        <v>0</v>
      </c>
      <c r="K47" s="132">
        <v>0</v>
      </c>
      <c r="L47" s="132">
        <v>0</v>
      </c>
      <c r="M47" s="130" t="e">
        <f t="shared" si="1"/>
        <v>#VALUE!</v>
      </c>
      <c r="N47" s="133"/>
    </row>
    <row r="48" spans="1:14" s="29" customFormat="1">
      <c r="A48" s="134">
        <v>2</v>
      </c>
      <c r="B48" s="45" t="s">
        <v>190</v>
      </c>
      <c r="C48" s="45" t="s">
        <v>157</v>
      </c>
      <c r="D48" s="32" t="s">
        <v>191</v>
      </c>
      <c r="E48" s="32" t="s">
        <v>100</v>
      </c>
      <c r="F48" s="130">
        <v>908302.08</v>
      </c>
      <c r="G48" s="130" t="s">
        <v>101</v>
      </c>
      <c r="H48" s="45" t="s">
        <v>101</v>
      </c>
      <c r="I48" s="131">
        <v>0</v>
      </c>
      <c r="J48" s="131">
        <v>0</v>
      </c>
      <c r="K48" s="132">
        <v>0</v>
      </c>
      <c r="L48" s="132">
        <v>0</v>
      </c>
      <c r="M48" s="130" t="e">
        <f t="shared" si="1"/>
        <v>#VALUE!</v>
      </c>
      <c r="N48" s="45"/>
    </row>
    <row r="49" spans="1:14" ht="30">
      <c r="A49" s="46">
        <v>2</v>
      </c>
      <c r="B49" s="45" t="s">
        <v>192</v>
      </c>
      <c r="C49" s="45" t="s">
        <v>157</v>
      </c>
      <c r="D49" s="32" t="s">
        <v>193</v>
      </c>
      <c r="E49" s="32" t="s">
        <v>100</v>
      </c>
      <c r="F49" s="130">
        <v>796524.77</v>
      </c>
      <c r="G49" s="130" t="s">
        <v>101</v>
      </c>
      <c r="H49" s="45" t="s">
        <v>101</v>
      </c>
      <c r="I49" s="131">
        <v>0</v>
      </c>
      <c r="J49" s="131">
        <v>0</v>
      </c>
      <c r="K49" s="132">
        <v>0</v>
      </c>
      <c r="L49" s="132">
        <v>0</v>
      </c>
      <c r="M49" s="130" t="e">
        <f t="shared" si="1"/>
        <v>#VALUE!</v>
      </c>
      <c r="N49" s="133"/>
    </row>
    <row r="50" spans="1:14" s="29" customFormat="1" ht="30">
      <c r="A50" s="134">
        <v>3</v>
      </c>
      <c r="B50" s="45" t="s">
        <v>194</v>
      </c>
      <c r="C50" s="45" t="s">
        <v>98</v>
      </c>
      <c r="D50" s="32" t="s">
        <v>195</v>
      </c>
      <c r="E50" s="32" t="s">
        <v>100</v>
      </c>
      <c r="F50" s="130">
        <v>459112.5</v>
      </c>
      <c r="G50" s="130" t="s">
        <v>101</v>
      </c>
      <c r="H50" s="45" t="s">
        <v>101</v>
      </c>
      <c r="I50" s="131">
        <v>0</v>
      </c>
      <c r="J50" s="131">
        <v>0</v>
      </c>
      <c r="K50" s="132">
        <v>0</v>
      </c>
      <c r="L50" s="132">
        <v>0</v>
      </c>
      <c r="M50" s="130" t="e">
        <f t="shared" si="1"/>
        <v>#VALUE!</v>
      </c>
      <c r="N50" s="146"/>
    </row>
    <row r="51" spans="1:14" ht="45">
      <c r="A51" s="46">
        <v>3</v>
      </c>
      <c r="B51" s="45" t="s">
        <v>196</v>
      </c>
      <c r="C51" s="45" t="s">
        <v>109</v>
      </c>
      <c r="D51" s="32" t="s">
        <v>197</v>
      </c>
      <c r="E51" s="32" t="s">
        <v>100</v>
      </c>
      <c r="F51" s="130">
        <v>326154.44</v>
      </c>
      <c r="G51" s="130" t="s">
        <v>101</v>
      </c>
      <c r="H51" s="45" t="s">
        <v>101</v>
      </c>
      <c r="I51" s="131">
        <v>0</v>
      </c>
      <c r="J51" s="131">
        <v>0</v>
      </c>
      <c r="K51" s="132">
        <v>0</v>
      </c>
      <c r="L51" s="132">
        <v>0</v>
      </c>
      <c r="M51" s="130" t="e">
        <f t="shared" si="1"/>
        <v>#VALUE!</v>
      </c>
      <c r="N51" s="136"/>
    </row>
    <row r="52" spans="1:14" s="29" customFormat="1" ht="30">
      <c r="A52" s="134">
        <v>3</v>
      </c>
      <c r="B52" s="45" t="s">
        <v>198</v>
      </c>
      <c r="C52" s="45" t="s">
        <v>116</v>
      </c>
      <c r="D52" s="32" t="s">
        <v>199</v>
      </c>
      <c r="E52" s="32" t="s">
        <v>100</v>
      </c>
      <c r="F52" s="130">
        <v>684809.72</v>
      </c>
      <c r="G52" s="130" t="s">
        <v>101</v>
      </c>
      <c r="H52" s="45" t="s">
        <v>101</v>
      </c>
      <c r="I52" s="131">
        <v>0</v>
      </c>
      <c r="J52" s="131">
        <v>0</v>
      </c>
      <c r="K52" s="132">
        <v>0</v>
      </c>
      <c r="L52" s="132">
        <v>0</v>
      </c>
      <c r="M52" s="130" t="e">
        <f t="shared" si="1"/>
        <v>#VALUE!</v>
      </c>
      <c r="N52" s="146"/>
    </row>
    <row r="53" spans="1:14" ht="30">
      <c r="A53" s="46">
        <v>3</v>
      </c>
      <c r="B53" s="45" t="s">
        <v>200</v>
      </c>
      <c r="C53" s="45" t="s">
        <v>121</v>
      </c>
      <c r="D53" s="32" t="s">
        <v>201</v>
      </c>
      <c r="E53" s="32" t="s">
        <v>100</v>
      </c>
      <c r="F53" s="130">
        <v>660286</v>
      </c>
      <c r="G53" s="130" t="s">
        <v>101</v>
      </c>
      <c r="H53" s="45" t="s">
        <v>101</v>
      </c>
      <c r="I53" s="131">
        <v>0</v>
      </c>
      <c r="J53" s="131">
        <v>0</v>
      </c>
      <c r="K53" s="132">
        <v>0</v>
      </c>
      <c r="L53" s="132">
        <v>0</v>
      </c>
      <c r="M53" s="130" t="e">
        <f t="shared" si="1"/>
        <v>#VALUE!</v>
      </c>
      <c r="N53" s="136"/>
    </row>
    <row r="54" spans="1:14" s="29" customFormat="1">
      <c r="A54" s="134">
        <v>3</v>
      </c>
      <c r="B54" s="45" t="s">
        <v>202</v>
      </c>
      <c r="C54" s="45" t="s">
        <v>124</v>
      </c>
      <c r="D54" s="32" t="s">
        <v>203</v>
      </c>
      <c r="E54" s="32" t="s">
        <v>100</v>
      </c>
      <c r="F54" s="130">
        <v>255360</v>
      </c>
      <c r="G54" s="130" t="s">
        <v>101</v>
      </c>
      <c r="H54" s="45" t="s">
        <v>101</v>
      </c>
      <c r="I54" s="131">
        <v>0</v>
      </c>
      <c r="J54" s="131">
        <v>0</v>
      </c>
      <c r="K54" s="132">
        <v>0</v>
      </c>
      <c r="L54" s="132">
        <v>0</v>
      </c>
      <c r="M54" s="130" t="e">
        <f t="shared" si="1"/>
        <v>#VALUE!</v>
      </c>
      <c r="N54" s="146"/>
    </row>
    <row r="55" spans="1:14" ht="30">
      <c r="A55" s="46">
        <v>3</v>
      </c>
      <c r="B55" s="45" t="s">
        <v>204</v>
      </c>
      <c r="C55" s="45" t="s">
        <v>145</v>
      </c>
      <c r="D55" s="32" t="s">
        <v>205</v>
      </c>
      <c r="E55" s="32" t="s">
        <v>100</v>
      </c>
      <c r="F55" s="130">
        <v>614775</v>
      </c>
      <c r="G55" s="130" t="s">
        <v>101</v>
      </c>
      <c r="H55" s="45" t="s">
        <v>101</v>
      </c>
      <c r="I55" s="131">
        <v>0</v>
      </c>
      <c r="J55" s="131">
        <v>0</v>
      </c>
      <c r="K55" s="132">
        <v>0</v>
      </c>
      <c r="L55" s="132">
        <v>0</v>
      </c>
      <c r="M55" s="130" t="e">
        <f t="shared" si="1"/>
        <v>#VALUE!</v>
      </c>
      <c r="N55" s="136"/>
    </row>
    <row r="56" spans="1:14" s="29" customFormat="1" ht="30.75" thickBot="1">
      <c r="A56" s="134">
        <v>3</v>
      </c>
      <c r="B56" s="45" t="s">
        <v>206</v>
      </c>
      <c r="C56" s="45" t="s">
        <v>150</v>
      </c>
      <c r="D56" s="32" t="s">
        <v>207</v>
      </c>
      <c r="E56" s="32" t="s">
        <v>100</v>
      </c>
      <c r="F56" s="130">
        <v>47832.86</v>
      </c>
      <c r="G56" s="130" t="s">
        <v>101</v>
      </c>
      <c r="H56" s="45" t="s">
        <v>101</v>
      </c>
      <c r="I56" s="131">
        <v>0</v>
      </c>
      <c r="J56" s="131">
        <v>0</v>
      </c>
      <c r="K56" s="132">
        <v>0</v>
      </c>
      <c r="L56" s="132">
        <v>0</v>
      </c>
      <c r="M56" s="135" t="e">
        <f t="shared" si="1"/>
        <v>#VALUE!</v>
      </c>
      <c r="N56" s="146"/>
    </row>
    <row r="57" spans="1:14" ht="16.5" thickBot="1">
      <c r="A57" s="137"/>
      <c r="B57" s="138"/>
      <c r="C57" s="137"/>
      <c r="D57" s="139" t="s">
        <v>54</v>
      </c>
      <c r="E57" s="140"/>
      <c r="F57" s="141">
        <f>SUM(F8:F56)</f>
        <v>79862729.373499975</v>
      </c>
      <c r="G57" s="142">
        <f>SUM(G8:G46)</f>
        <v>0</v>
      </c>
      <c r="H57" s="143"/>
      <c r="I57" s="143"/>
      <c r="J57" s="141">
        <f>SUM(K8:K46)</f>
        <v>0</v>
      </c>
      <c r="K57" s="142">
        <f>SUM(L8:L46)</f>
        <v>0</v>
      </c>
      <c r="L57" s="144">
        <f>G57-J57-K57</f>
        <v>0</v>
      </c>
      <c r="M57" s="145"/>
      <c r="N57" s="137"/>
    </row>
  </sheetData>
  <mergeCells count="17">
    <mergeCell ref="K5:K7"/>
    <mergeCell ref="L5:L7"/>
    <mergeCell ref="M5:M7"/>
    <mergeCell ref="N5:N7"/>
    <mergeCell ref="E5:E7"/>
    <mergeCell ref="F5:F7"/>
    <mergeCell ref="G5:G7"/>
    <mergeCell ref="H5:H7"/>
    <mergeCell ref="I5:I7"/>
    <mergeCell ref="J5:J7"/>
    <mergeCell ref="C1:D1"/>
    <mergeCell ref="C2:D2"/>
    <mergeCell ref="C3:D3"/>
    <mergeCell ref="A5:A7"/>
    <mergeCell ref="B5:B7"/>
    <mergeCell ref="C5:C7"/>
    <mergeCell ref="D5:D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tabSelected="1" topLeftCell="A22" zoomScale="90" zoomScaleNormal="90" workbookViewId="0">
      <selection activeCell="D11" sqref="D11"/>
    </sheetView>
  </sheetViews>
  <sheetFormatPr defaultRowHeight="15"/>
  <cols>
    <col min="1" max="1" width="10.140625" customWidth="1"/>
    <col min="2" max="2" width="15.42578125" customWidth="1"/>
    <col min="3" max="3" width="30.85546875" customWidth="1"/>
    <col min="4" max="4" width="66" customWidth="1"/>
    <col min="5" max="5" width="11.42578125" customWidth="1"/>
    <col min="6" max="6" width="18.7109375" customWidth="1"/>
    <col min="7" max="7" width="16.85546875" customWidth="1"/>
    <col min="8" max="8" width="16.5703125" customWidth="1"/>
    <col min="9" max="9" width="13.5703125" customWidth="1"/>
    <col min="10" max="10" width="13.85546875" customWidth="1"/>
    <col min="11" max="11" width="16.5703125" customWidth="1"/>
    <col min="12" max="13" width="17" customWidth="1"/>
    <col min="14" max="14" width="79.140625" customWidth="1"/>
    <col min="15" max="15" width="15.5703125" customWidth="1"/>
    <col min="16" max="16" width="14.85546875" customWidth="1"/>
    <col min="17" max="17" width="12.42578125" bestFit="1" customWidth="1"/>
    <col min="18" max="18" width="10" customWidth="1"/>
    <col min="19" max="19" width="16.28515625" customWidth="1"/>
    <col min="20" max="21" width="16.140625" customWidth="1"/>
  </cols>
  <sheetData>
    <row r="1" spans="1:14" ht="23.25" customHeight="1">
      <c r="B1" s="20" t="s">
        <v>17</v>
      </c>
      <c r="C1" s="537" t="s">
        <v>299</v>
      </c>
      <c r="D1" s="538"/>
      <c r="E1" s="21"/>
      <c r="I1" s="22"/>
    </row>
    <row r="2" spans="1:14" ht="23.25" customHeight="1">
      <c r="B2" s="20" t="s">
        <v>19</v>
      </c>
      <c r="C2" s="539">
        <f ca="1">TODAY()</f>
        <v>43040</v>
      </c>
      <c r="D2" s="540"/>
      <c r="E2" s="23"/>
      <c r="G2" s="22"/>
      <c r="H2" s="24"/>
      <c r="I2" s="22"/>
      <c r="J2" s="22"/>
      <c r="M2" s="25">
        <f ca="1">TODAY()</f>
        <v>43040</v>
      </c>
    </row>
    <row r="3" spans="1:14" ht="36" customHeight="1">
      <c r="B3" s="20" t="s">
        <v>20</v>
      </c>
      <c r="C3" s="541" t="s">
        <v>300</v>
      </c>
      <c r="D3" s="542"/>
      <c r="E3" s="26"/>
    </row>
    <row r="4" spans="1:14" ht="9" customHeight="1">
      <c r="B4" s="27"/>
      <c r="C4" s="28"/>
      <c r="D4" s="29"/>
      <c r="E4" s="29"/>
    </row>
    <row r="5" spans="1:14" ht="15.75" customHeight="1">
      <c r="A5" s="543" t="s">
        <v>57</v>
      </c>
      <c r="B5" s="547" t="s">
        <v>22</v>
      </c>
      <c r="C5" s="547" t="s">
        <v>23</v>
      </c>
      <c r="D5" s="547" t="s">
        <v>24</v>
      </c>
      <c r="E5" s="547" t="s">
        <v>25</v>
      </c>
      <c r="F5" s="547" t="s">
        <v>15</v>
      </c>
      <c r="G5" s="547" t="s">
        <v>58</v>
      </c>
      <c r="H5" s="543" t="s">
        <v>26</v>
      </c>
      <c r="I5" s="609" t="s">
        <v>27</v>
      </c>
      <c r="J5" s="547" t="s">
        <v>28</v>
      </c>
      <c r="K5" s="543" t="s">
        <v>13</v>
      </c>
      <c r="L5" s="543" t="s">
        <v>11</v>
      </c>
      <c r="M5" s="543" t="s">
        <v>9</v>
      </c>
      <c r="N5" s="543" t="s">
        <v>31</v>
      </c>
    </row>
    <row r="6" spans="1:14" ht="15.75" customHeight="1">
      <c r="A6" s="544"/>
      <c r="B6" s="547"/>
      <c r="C6" s="547"/>
      <c r="D6" s="547"/>
      <c r="E6" s="547"/>
      <c r="F6" s="547"/>
      <c r="G6" s="547"/>
      <c r="H6" s="544"/>
      <c r="I6" s="610"/>
      <c r="J6" s="547"/>
      <c r="K6" s="544"/>
      <c r="L6" s="544"/>
      <c r="M6" s="544"/>
      <c r="N6" s="544"/>
    </row>
    <row r="7" spans="1:14" s="29" customFormat="1" ht="50.25" customHeight="1">
      <c r="A7" s="545"/>
      <c r="B7" s="547"/>
      <c r="C7" s="547"/>
      <c r="D7" s="547"/>
      <c r="E7" s="547"/>
      <c r="F7" s="547"/>
      <c r="G7" s="547"/>
      <c r="H7" s="545"/>
      <c r="I7" s="611"/>
      <c r="J7" s="547"/>
      <c r="K7" s="545"/>
      <c r="L7" s="545"/>
      <c r="M7" s="545"/>
      <c r="N7" s="545"/>
    </row>
    <row r="8" spans="1:14" s="29" customFormat="1" ht="60.75" customHeight="1">
      <c r="A8" s="30">
        <v>1</v>
      </c>
      <c r="B8" s="30">
        <v>644</v>
      </c>
      <c r="C8" s="31" t="s">
        <v>301</v>
      </c>
      <c r="D8" s="31" t="s">
        <v>302</v>
      </c>
      <c r="E8" s="30" t="s">
        <v>34</v>
      </c>
      <c r="F8" s="163">
        <v>1483131</v>
      </c>
      <c r="G8" s="33">
        <f>F8</f>
        <v>1483131</v>
      </c>
      <c r="H8" s="34">
        <v>43434</v>
      </c>
      <c r="I8" s="35">
        <v>0</v>
      </c>
      <c r="J8" s="35">
        <v>0</v>
      </c>
      <c r="K8" s="36">
        <v>0</v>
      </c>
      <c r="L8" s="36">
        <v>0</v>
      </c>
      <c r="M8" s="33">
        <f>G8-K8-L8</f>
        <v>1483131</v>
      </c>
      <c r="N8" s="30"/>
    </row>
    <row r="9" spans="1:14" s="29" customFormat="1" ht="37.5" customHeight="1">
      <c r="A9" s="30">
        <v>2</v>
      </c>
      <c r="B9" s="30">
        <v>644</v>
      </c>
      <c r="C9" s="43" t="s">
        <v>303</v>
      </c>
      <c r="D9" s="43" t="s">
        <v>304</v>
      </c>
      <c r="E9" s="30" t="s">
        <v>34</v>
      </c>
      <c r="F9" s="164">
        <v>115345</v>
      </c>
      <c r="G9" s="33">
        <f t="shared" ref="G9:G30" si="0">F9</f>
        <v>115345</v>
      </c>
      <c r="H9" s="34">
        <v>43434</v>
      </c>
      <c r="I9" s="35">
        <v>0</v>
      </c>
      <c r="J9" s="35">
        <v>0</v>
      </c>
      <c r="K9" s="44">
        <v>0</v>
      </c>
      <c r="L9" s="44">
        <v>0</v>
      </c>
      <c r="M9" s="33">
        <f t="shared" ref="M9:M32" si="1">G9-K9-L9</f>
        <v>115345</v>
      </c>
      <c r="N9" s="43"/>
    </row>
    <row r="10" spans="1:14" s="29" customFormat="1" ht="39.75" customHeight="1">
      <c r="A10" s="30">
        <v>3</v>
      </c>
      <c r="B10" s="30">
        <v>644</v>
      </c>
      <c r="C10" s="43" t="s">
        <v>305</v>
      </c>
      <c r="D10" s="43" t="s">
        <v>306</v>
      </c>
      <c r="E10" s="30" t="s">
        <v>34</v>
      </c>
      <c r="F10" s="164">
        <v>122013</v>
      </c>
      <c r="G10" s="33">
        <f t="shared" si="0"/>
        <v>122013</v>
      </c>
      <c r="H10" s="34">
        <v>43465</v>
      </c>
      <c r="I10" s="35">
        <v>0</v>
      </c>
      <c r="J10" s="35">
        <v>0</v>
      </c>
      <c r="K10" s="44">
        <v>0</v>
      </c>
      <c r="L10" s="44">
        <v>0</v>
      </c>
      <c r="M10" s="33">
        <f t="shared" si="1"/>
        <v>122013</v>
      </c>
      <c r="N10" s="30"/>
    </row>
    <row r="11" spans="1:14" s="29" customFormat="1" ht="45" customHeight="1">
      <c r="A11" s="30">
        <v>4</v>
      </c>
      <c r="B11" s="30">
        <v>644</v>
      </c>
      <c r="C11" s="43" t="s">
        <v>307</v>
      </c>
      <c r="D11" s="43" t="s">
        <v>308</v>
      </c>
      <c r="E11" s="30" t="s">
        <v>34</v>
      </c>
      <c r="F11" s="164">
        <v>1195113</v>
      </c>
      <c r="G11" s="33">
        <f t="shared" si="0"/>
        <v>1195113</v>
      </c>
      <c r="H11" s="34">
        <v>43465</v>
      </c>
      <c r="I11" s="35">
        <v>0</v>
      </c>
      <c r="J11" s="35">
        <v>0</v>
      </c>
      <c r="K11" s="44">
        <v>0</v>
      </c>
      <c r="L11" s="44">
        <v>0</v>
      </c>
      <c r="M11" s="33">
        <f t="shared" si="1"/>
        <v>1195113</v>
      </c>
      <c r="N11" s="43"/>
    </row>
    <row r="12" spans="1:14" s="29" customFormat="1" ht="45" customHeight="1">
      <c r="A12" s="30">
        <v>5</v>
      </c>
      <c r="B12" s="30">
        <v>644</v>
      </c>
      <c r="C12" s="43" t="s">
        <v>309</v>
      </c>
      <c r="D12" s="43" t="s">
        <v>310</v>
      </c>
      <c r="E12" s="30" t="s">
        <v>34</v>
      </c>
      <c r="F12" s="164">
        <v>402689</v>
      </c>
      <c r="G12" s="33">
        <f t="shared" si="0"/>
        <v>402689</v>
      </c>
      <c r="H12" s="34">
        <v>43496</v>
      </c>
      <c r="I12" s="35">
        <v>0</v>
      </c>
      <c r="J12" s="35">
        <v>0</v>
      </c>
      <c r="K12" s="44">
        <v>0</v>
      </c>
      <c r="L12" s="44">
        <v>0</v>
      </c>
      <c r="M12" s="33">
        <f t="shared" si="1"/>
        <v>402689</v>
      </c>
      <c r="N12" s="30"/>
    </row>
    <row r="13" spans="1:14" s="29" customFormat="1" ht="45" customHeight="1">
      <c r="A13" s="30">
        <v>6</v>
      </c>
      <c r="B13" s="30">
        <v>644</v>
      </c>
      <c r="C13" s="43" t="s">
        <v>311</v>
      </c>
      <c r="D13" s="43" t="s">
        <v>308</v>
      </c>
      <c r="E13" s="30" t="s">
        <v>34</v>
      </c>
      <c r="F13" s="164">
        <v>2136636</v>
      </c>
      <c r="G13" s="33">
        <f t="shared" si="0"/>
        <v>2136636</v>
      </c>
      <c r="H13" s="34">
        <v>43496</v>
      </c>
      <c r="I13" s="35">
        <v>0</v>
      </c>
      <c r="J13" s="35">
        <v>0</v>
      </c>
      <c r="K13" s="44">
        <v>0</v>
      </c>
      <c r="L13" s="44">
        <v>0</v>
      </c>
      <c r="M13" s="33">
        <f t="shared" si="1"/>
        <v>2136636</v>
      </c>
      <c r="N13" s="30"/>
    </row>
    <row r="14" spans="1:14" s="29" customFormat="1" ht="45" customHeight="1">
      <c r="A14" s="30">
        <v>7</v>
      </c>
      <c r="B14" s="30">
        <v>644</v>
      </c>
      <c r="C14" s="43" t="s">
        <v>312</v>
      </c>
      <c r="D14" s="43" t="s">
        <v>313</v>
      </c>
      <c r="E14" s="30" t="s">
        <v>34</v>
      </c>
      <c r="F14" s="164">
        <v>76533</v>
      </c>
      <c r="G14" s="33">
        <f t="shared" si="0"/>
        <v>76533</v>
      </c>
      <c r="H14" s="34">
        <v>43524</v>
      </c>
      <c r="I14" s="35">
        <v>0</v>
      </c>
      <c r="J14" s="35">
        <v>0</v>
      </c>
      <c r="K14" s="44">
        <v>0</v>
      </c>
      <c r="L14" s="44">
        <v>0</v>
      </c>
      <c r="M14" s="33">
        <f t="shared" si="1"/>
        <v>76533</v>
      </c>
      <c r="N14" s="30"/>
    </row>
    <row r="15" spans="1:14" s="73" customFormat="1" ht="43.35" customHeight="1">
      <c r="A15" s="30">
        <v>8</v>
      </c>
      <c r="B15" s="30">
        <v>644</v>
      </c>
      <c r="C15" s="43" t="s">
        <v>314</v>
      </c>
      <c r="D15" s="43" t="s">
        <v>315</v>
      </c>
      <c r="E15" s="30" t="s">
        <v>34</v>
      </c>
      <c r="F15" s="164">
        <v>358851</v>
      </c>
      <c r="G15" s="33">
        <f t="shared" si="0"/>
        <v>358851</v>
      </c>
      <c r="H15" s="34">
        <v>43524</v>
      </c>
      <c r="I15" s="35">
        <v>0</v>
      </c>
      <c r="J15" s="35">
        <v>0</v>
      </c>
      <c r="K15" s="44">
        <v>0</v>
      </c>
      <c r="L15" s="44">
        <v>0</v>
      </c>
      <c r="M15" s="33">
        <f t="shared" si="1"/>
        <v>358851</v>
      </c>
      <c r="N15" s="30"/>
    </row>
    <row r="16" spans="1:14" s="73" customFormat="1" ht="43.35" customHeight="1">
      <c r="A16" s="30">
        <v>9</v>
      </c>
      <c r="B16" s="30">
        <v>644</v>
      </c>
      <c r="C16" s="43" t="s">
        <v>316</v>
      </c>
      <c r="D16" s="43" t="s">
        <v>317</v>
      </c>
      <c r="E16" s="30" t="s">
        <v>34</v>
      </c>
      <c r="F16" s="164">
        <v>157046</v>
      </c>
      <c r="G16" s="33">
        <f t="shared" si="0"/>
        <v>157046</v>
      </c>
      <c r="H16" s="34">
        <v>43524</v>
      </c>
      <c r="I16" s="35">
        <v>0</v>
      </c>
      <c r="J16" s="35">
        <v>0</v>
      </c>
      <c r="K16" s="44">
        <v>0</v>
      </c>
      <c r="L16" s="44">
        <v>0</v>
      </c>
      <c r="M16" s="33">
        <f t="shared" si="1"/>
        <v>157046</v>
      </c>
      <c r="N16" s="43"/>
    </row>
    <row r="17" spans="1:14" s="73" customFormat="1" ht="43.35" customHeight="1">
      <c r="A17" s="30">
        <v>10</v>
      </c>
      <c r="B17" s="30">
        <v>644</v>
      </c>
      <c r="C17" s="43" t="s">
        <v>318</v>
      </c>
      <c r="D17" s="43" t="s">
        <v>319</v>
      </c>
      <c r="E17" s="30" t="s">
        <v>34</v>
      </c>
      <c r="F17" s="176">
        <v>409186</v>
      </c>
      <c r="G17" s="33">
        <f t="shared" si="0"/>
        <v>409186</v>
      </c>
      <c r="H17" s="34">
        <v>43799</v>
      </c>
      <c r="I17" s="35">
        <v>0</v>
      </c>
      <c r="J17" s="35">
        <v>0</v>
      </c>
      <c r="K17" s="44">
        <v>0</v>
      </c>
      <c r="L17" s="44">
        <v>0</v>
      </c>
      <c r="M17" s="33">
        <f t="shared" si="1"/>
        <v>409186</v>
      </c>
      <c r="N17" s="43"/>
    </row>
    <row r="18" spans="1:14" s="73" customFormat="1" ht="45">
      <c r="A18" s="30">
        <v>11</v>
      </c>
      <c r="B18" s="177">
        <v>644</v>
      </c>
      <c r="C18" s="48" t="s">
        <v>320</v>
      </c>
      <c r="D18" s="43" t="s">
        <v>321</v>
      </c>
      <c r="E18" s="30" t="s">
        <v>34</v>
      </c>
      <c r="F18" s="176">
        <v>577436</v>
      </c>
      <c r="G18" s="33">
        <f t="shared" si="0"/>
        <v>577436</v>
      </c>
      <c r="H18" s="34">
        <v>43799</v>
      </c>
      <c r="I18" s="35">
        <v>0</v>
      </c>
      <c r="J18" s="35">
        <v>0</v>
      </c>
      <c r="K18" s="44">
        <v>0</v>
      </c>
      <c r="L18" s="44">
        <v>0</v>
      </c>
      <c r="M18" s="33">
        <f t="shared" si="1"/>
        <v>577436</v>
      </c>
      <c r="N18" s="43"/>
    </row>
    <row r="19" spans="1:14" s="73" customFormat="1" ht="43.35" customHeight="1">
      <c r="A19" s="30">
        <v>12</v>
      </c>
      <c r="B19" s="177">
        <v>644</v>
      </c>
      <c r="C19" s="43" t="s">
        <v>322</v>
      </c>
      <c r="D19" s="43" t="s">
        <v>323</v>
      </c>
      <c r="E19" s="30" t="s">
        <v>34</v>
      </c>
      <c r="F19" s="164">
        <v>185641</v>
      </c>
      <c r="G19" s="33">
        <f t="shared" si="0"/>
        <v>185641</v>
      </c>
      <c r="H19" s="34">
        <v>43799</v>
      </c>
      <c r="I19" s="35">
        <v>0</v>
      </c>
      <c r="J19" s="35">
        <v>0</v>
      </c>
      <c r="K19" s="44">
        <v>0</v>
      </c>
      <c r="L19" s="44">
        <v>0</v>
      </c>
      <c r="M19" s="33">
        <f t="shared" si="1"/>
        <v>185641</v>
      </c>
      <c r="N19" s="43"/>
    </row>
    <row r="20" spans="1:14" s="73" customFormat="1" ht="43.35" customHeight="1">
      <c r="A20" s="30">
        <v>13</v>
      </c>
      <c r="B20" s="177">
        <v>644</v>
      </c>
      <c r="C20" s="43" t="s">
        <v>324</v>
      </c>
      <c r="D20" s="43" t="s">
        <v>325</v>
      </c>
      <c r="E20" s="30" t="s">
        <v>34</v>
      </c>
      <c r="F20" s="176">
        <v>62950</v>
      </c>
      <c r="G20" s="33">
        <f t="shared" si="0"/>
        <v>62950</v>
      </c>
      <c r="H20" s="34">
        <v>43799</v>
      </c>
      <c r="I20" s="35">
        <v>0</v>
      </c>
      <c r="J20" s="35">
        <v>0</v>
      </c>
      <c r="K20" s="44">
        <v>0</v>
      </c>
      <c r="L20" s="44">
        <v>0</v>
      </c>
      <c r="M20" s="33">
        <f t="shared" si="1"/>
        <v>62950</v>
      </c>
      <c r="N20" s="43"/>
    </row>
    <row r="21" spans="1:14" s="73" customFormat="1" ht="43.35" customHeight="1">
      <c r="A21" s="30">
        <v>14</v>
      </c>
      <c r="B21" s="177">
        <v>644</v>
      </c>
      <c r="C21" s="48" t="s">
        <v>326</v>
      </c>
      <c r="D21" s="43" t="s">
        <v>327</v>
      </c>
      <c r="E21" s="58" t="s">
        <v>34</v>
      </c>
      <c r="F21" s="178">
        <v>307732</v>
      </c>
      <c r="G21" s="33">
        <f t="shared" si="0"/>
        <v>307732</v>
      </c>
      <c r="H21" s="34">
        <v>43830</v>
      </c>
      <c r="I21" s="35">
        <v>0</v>
      </c>
      <c r="J21" s="35">
        <v>0</v>
      </c>
      <c r="K21" s="44">
        <v>0</v>
      </c>
      <c r="L21" s="44">
        <v>0</v>
      </c>
      <c r="M21" s="33">
        <f t="shared" si="1"/>
        <v>307732</v>
      </c>
      <c r="N21" s="179"/>
    </row>
    <row r="22" spans="1:14" s="73" customFormat="1" ht="43.35" customHeight="1">
      <c r="A22" s="30">
        <v>15</v>
      </c>
      <c r="B22" s="177">
        <v>644</v>
      </c>
      <c r="C22" s="48" t="s">
        <v>328</v>
      </c>
      <c r="D22" s="43" t="s">
        <v>329</v>
      </c>
      <c r="E22" s="58" t="s">
        <v>34</v>
      </c>
      <c r="F22" s="178">
        <v>583718</v>
      </c>
      <c r="G22" s="33">
        <f t="shared" si="0"/>
        <v>583718</v>
      </c>
      <c r="H22" s="34">
        <v>43830</v>
      </c>
      <c r="I22" s="35">
        <v>0</v>
      </c>
      <c r="J22" s="35">
        <v>0</v>
      </c>
      <c r="K22" s="44">
        <v>0</v>
      </c>
      <c r="L22" s="44">
        <v>0</v>
      </c>
      <c r="M22" s="33">
        <f t="shared" si="1"/>
        <v>583718</v>
      </c>
      <c r="N22" s="179"/>
    </row>
    <row r="23" spans="1:14" s="73" customFormat="1" ht="43.35" customHeight="1">
      <c r="A23" s="30">
        <v>16</v>
      </c>
      <c r="B23" s="177">
        <v>644</v>
      </c>
      <c r="C23" s="48" t="s">
        <v>330</v>
      </c>
      <c r="D23" s="43" t="s">
        <v>331</v>
      </c>
      <c r="E23" s="58" t="s">
        <v>34</v>
      </c>
      <c r="F23" s="178">
        <v>98474</v>
      </c>
      <c r="G23" s="33">
        <f t="shared" si="0"/>
        <v>98474</v>
      </c>
      <c r="H23" s="34">
        <v>43830</v>
      </c>
      <c r="I23" s="35">
        <v>0</v>
      </c>
      <c r="J23" s="35">
        <v>0</v>
      </c>
      <c r="K23" s="44">
        <v>0</v>
      </c>
      <c r="L23" s="44">
        <v>0</v>
      </c>
      <c r="M23" s="33">
        <f t="shared" si="1"/>
        <v>98474</v>
      </c>
      <c r="N23" s="179"/>
    </row>
    <row r="24" spans="1:14" s="73" customFormat="1" ht="43.35" customHeight="1">
      <c r="A24" s="30">
        <v>17</v>
      </c>
      <c r="B24" s="177">
        <v>644</v>
      </c>
      <c r="C24" s="48" t="s">
        <v>332</v>
      </c>
      <c r="D24" s="43" t="s">
        <v>333</v>
      </c>
      <c r="E24" s="58" t="s">
        <v>34</v>
      </c>
      <c r="F24" s="178">
        <v>160020</v>
      </c>
      <c r="G24" s="33">
        <f t="shared" si="0"/>
        <v>160020</v>
      </c>
      <c r="H24" s="34">
        <v>43830</v>
      </c>
      <c r="I24" s="35">
        <v>0</v>
      </c>
      <c r="J24" s="35">
        <v>0</v>
      </c>
      <c r="K24" s="44">
        <v>0</v>
      </c>
      <c r="L24" s="44">
        <v>0</v>
      </c>
      <c r="M24" s="33">
        <f t="shared" si="1"/>
        <v>160020</v>
      </c>
      <c r="N24" s="179"/>
    </row>
    <row r="25" spans="1:14" s="73" customFormat="1" ht="43.35" customHeight="1">
      <c r="A25" s="30">
        <v>18</v>
      </c>
      <c r="B25" s="177">
        <v>644</v>
      </c>
      <c r="C25" s="48" t="s">
        <v>334</v>
      </c>
      <c r="D25" s="43" t="s">
        <v>335</v>
      </c>
      <c r="E25" s="58" t="s">
        <v>34</v>
      </c>
      <c r="F25" s="178">
        <v>148313</v>
      </c>
      <c r="G25" s="33">
        <f t="shared" si="0"/>
        <v>148313</v>
      </c>
      <c r="H25" s="34">
        <v>43861</v>
      </c>
      <c r="I25" s="35">
        <v>0</v>
      </c>
      <c r="J25" s="35">
        <v>0</v>
      </c>
      <c r="K25" s="44">
        <v>0</v>
      </c>
      <c r="L25" s="44">
        <v>0</v>
      </c>
      <c r="M25" s="33">
        <f t="shared" si="1"/>
        <v>148313</v>
      </c>
      <c r="N25" s="179"/>
    </row>
    <row r="26" spans="1:14" s="73" customFormat="1" ht="43.35" customHeight="1">
      <c r="A26" s="30">
        <v>19</v>
      </c>
      <c r="B26" s="177">
        <v>644</v>
      </c>
      <c r="C26" s="48" t="s">
        <v>336</v>
      </c>
      <c r="D26" s="43" t="s">
        <v>337</v>
      </c>
      <c r="E26" s="58" t="s">
        <v>34</v>
      </c>
      <c r="F26" s="178">
        <v>1496373</v>
      </c>
      <c r="G26" s="33">
        <f t="shared" si="0"/>
        <v>1496373</v>
      </c>
      <c r="H26" s="34">
        <v>43861</v>
      </c>
      <c r="I26" s="35">
        <v>0</v>
      </c>
      <c r="J26" s="35">
        <v>0</v>
      </c>
      <c r="K26" s="44">
        <v>0</v>
      </c>
      <c r="L26" s="44">
        <v>0</v>
      </c>
      <c r="M26" s="33">
        <f t="shared" si="1"/>
        <v>1496373</v>
      </c>
      <c r="N26" s="179"/>
    </row>
    <row r="27" spans="1:14" s="73" customFormat="1" ht="43.35" customHeight="1">
      <c r="A27" s="30">
        <v>20</v>
      </c>
      <c r="B27" s="177">
        <v>644</v>
      </c>
      <c r="C27" s="48" t="s">
        <v>338</v>
      </c>
      <c r="D27" s="43" t="s">
        <v>339</v>
      </c>
      <c r="E27" s="58" t="s">
        <v>34</v>
      </c>
      <c r="F27" s="178">
        <v>243329</v>
      </c>
      <c r="G27" s="33">
        <f t="shared" si="0"/>
        <v>243329</v>
      </c>
      <c r="H27" s="34">
        <v>43861</v>
      </c>
      <c r="I27" s="35">
        <v>0</v>
      </c>
      <c r="J27" s="35">
        <v>0</v>
      </c>
      <c r="K27" s="44">
        <v>0</v>
      </c>
      <c r="L27" s="44">
        <v>0</v>
      </c>
      <c r="M27" s="33">
        <f t="shared" si="1"/>
        <v>243329</v>
      </c>
      <c r="N27" s="179"/>
    </row>
    <row r="28" spans="1:14" s="73" customFormat="1" ht="43.35" customHeight="1">
      <c r="A28" s="30">
        <v>21</v>
      </c>
      <c r="B28" s="177">
        <v>644</v>
      </c>
      <c r="C28" s="48" t="s">
        <v>340</v>
      </c>
      <c r="D28" s="43" t="s">
        <v>341</v>
      </c>
      <c r="E28" s="58" t="s">
        <v>34</v>
      </c>
      <c r="F28" s="178">
        <v>190113</v>
      </c>
      <c r="G28" s="33">
        <f t="shared" si="0"/>
        <v>190113</v>
      </c>
      <c r="H28" s="180">
        <v>43890</v>
      </c>
      <c r="I28" s="35">
        <v>0</v>
      </c>
      <c r="J28" s="35">
        <v>0</v>
      </c>
      <c r="K28" s="44">
        <v>0</v>
      </c>
      <c r="L28" s="44">
        <v>0</v>
      </c>
      <c r="M28" s="33">
        <f t="shared" si="1"/>
        <v>190113</v>
      </c>
      <c r="N28" s="179"/>
    </row>
    <row r="29" spans="1:14" s="73" customFormat="1" ht="43.35" customHeight="1">
      <c r="A29" s="30">
        <v>22</v>
      </c>
      <c r="B29" s="177">
        <v>644</v>
      </c>
      <c r="C29" s="48" t="s">
        <v>342</v>
      </c>
      <c r="D29" s="43" t="s">
        <v>337</v>
      </c>
      <c r="E29" s="58" t="s">
        <v>34</v>
      </c>
      <c r="F29" s="178">
        <v>1105403</v>
      </c>
      <c r="G29" s="33">
        <f t="shared" si="0"/>
        <v>1105403</v>
      </c>
      <c r="H29" s="180">
        <v>43890</v>
      </c>
      <c r="I29" s="35">
        <v>0</v>
      </c>
      <c r="J29" s="35">
        <v>0</v>
      </c>
      <c r="K29" s="44">
        <v>0</v>
      </c>
      <c r="L29" s="44">
        <v>0</v>
      </c>
      <c r="M29" s="33">
        <f t="shared" si="1"/>
        <v>1105403</v>
      </c>
      <c r="N29" s="179"/>
    </row>
    <row r="30" spans="1:14" s="73" customFormat="1" ht="43.35" customHeight="1">
      <c r="A30" s="30">
        <v>23</v>
      </c>
      <c r="B30" s="177">
        <v>644</v>
      </c>
      <c r="C30" s="48" t="s">
        <v>343</v>
      </c>
      <c r="D30" s="43" t="s">
        <v>344</v>
      </c>
      <c r="E30" s="58" t="s">
        <v>34</v>
      </c>
      <c r="F30" s="176">
        <v>483955</v>
      </c>
      <c r="G30" s="33">
        <f t="shared" si="0"/>
        <v>483955</v>
      </c>
      <c r="H30" s="180">
        <v>43890</v>
      </c>
      <c r="I30" s="35">
        <v>0</v>
      </c>
      <c r="J30" s="35">
        <v>0</v>
      </c>
      <c r="K30" s="44">
        <v>0</v>
      </c>
      <c r="L30" s="44">
        <v>0</v>
      </c>
      <c r="M30" s="33">
        <f t="shared" si="1"/>
        <v>483955</v>
      </c>
      <c r="N30" s="179"/>
    </row>
    <row r="31" spans="1:14" s="22" customFormat="1" ht="15.75" thickBot="1">
      <c r="A31" s="64"/>
      <c r="B31" s="165"/>
      <c r="C31" s="166"/>
      <c r="D31" s="73"/>
      <c r="E31" s="167"/>
      <c r="F31" s="168"/>
      <c r="H31" s="70"/>
      <c r="I31" s="169"/>
      <c r="J31" s="170"/>
      <c r="M31" s="171"/>
      <c r="N31" s="70"/>
    </row>
    <row r="32" spans="1:14" s="22" customFormat="1" ht="43.35" customHeight="1" thickBot="1">
      <c r="B32" s="64"/>
      <c r="C32" s="65"/>
      <c r="D32" s="65"/>
      <c r="E32" s="172" t="s">
        <v>54</v>
      </c>
      <c r="F32" s="67">
        <f>SUM(F8:F30)</f>
        <v>12100000</v>
      </c>
      <c r="G32" s="68">
        <f>SUM(G8:G30)</f>
        <v>12100000</v>
      </c>
      <c r="H32" s="173"/>
      <c r="K32" s="67">
        <f>SUM(K8:K30)</f>
        <v>0</v>
      </c>
      <c r="L32" s="68">
        <f>SUM(L8:L30)</f>
        <v>0</v>
      </c>
      <c r="M32" s="71">
        <f t="shared" si="1"/>
        <v>12100000</v>
      </c>
      <c r="N32" s="173"/>
    </row>
    <row r="33" spans="1:14" s="22" customFormat="1" ht="15.75">
      <c r="B33" s="64"/>
      <c r="C33" s="174"/>
      <c r="D33" s="174"/>
      <c r="E33" s="174"/>
      <c r="F33" s="174"/>
      <c r="G33" s="174"/>
      <c r="H33" s="174"/>
      <c r="I33" s="174"/>
      <c r="J33" s="174"/>
      <c r="K33" s="174"/>
    </row>
    <row r="34" spans="1:14" s="22" customFormat="1">
      <c r="B34" s="64"/>
      <c r="C34" s="175"/>
      <c r="D34" s="175"/>
      <c r="E34" s="175"/>
      <c r="F34" s="175"/>
      <c r="G34" s="175"/>
      <c r="H34" s="175"/>
      <c r="I34" s="175"/>
      <c r="J34" s="175"/>
    </row>
    <row r="35" spans="1:14" s="22" customFormat="1">
      <c r="B35" s="64"/>
      <c r="C35" s="175"/>
      <c r="D35" s="175"/>
      <c r="E35" s="175"/>
      <c r="F35" s="175"/>
      <c r="G35" s="175"/>
      <c r="H35" s="175"/>
      <c r="I35" s="175"/>
      <c r="J35" s="175"/>
    </row>
    <row r="36" spans="1:14" s="22" customFormat="1">
      <c r="B36" s="64"/>
      <c r="C36" s="65"/>
      <c r="D36" s="65"/>
      <c r="E36" s="65"/>
      <c r="F36" s="65"/>
      <c r="G36" s="65"/>
      <c r="H36" s="65"/>
      <c r="I36" s="65"/>
      <c r="J36" s="65"/>
    </row>
    <row r="37" spans="1:14" s="22" customFormat="1">
      <c r="C37" s="175"/>
      <c r="D37" s="175"/>
      <c r="E37" s="175"/>
      <c r="F37" s="175"/>
      <c r="G37" s="175"/>
      <c r="H37" s="175"/>
      <c r="I37" s="175"/>
      <c r="J37" s="175"/>
    </row>
    <row r="38" spans="1:14" s="22" customFormat="1">
      <c r="C38" s="65"/>
      <c r="D38" s="65"/>
      <c r="E38" s="65"/>
      <c r="F38" s="65"/>
      <c r="G38" s="65"/>
      <c r="H38" s="65"/>
      <c r="I38" s="65"/>
      <c r="J38" s="65"/>
    </row>
    <row r="39" spans="1:14" s="22" customFormat="1">
      <c r="C39" s="65"/>
      <c r="D39" s="65"/>
      <c r="E39" s="65"/>
      <c r="F39" s="65"/>
      <c r="G39" s="65"/>
      <c r="H39" s="65"/>
      <c r="I39" s="65"/>
      <c r="J39" s="65"/>
    </row>
    <row r="40" spans="1:14">
      <c r="A40" s="22"/>
      <c r="B40" s="22"/>
      <c r="C40" s="65"/>
      <c r="D40" s="65"/>
      <c r="E40" s="65"/>
      <c r="F40" s="65"/>
      <c r="G40" s="65"/>
      <c r="H40" s="65"/>
      <c r="I40" s="65"/>
      <c r="J40" s="65"/>
      <c r="K40" s="22"/>
      <c r="L40" s="22"/>
      <c r="M40" s="22"/>
      <c r="N40" s="22"/>
    </row>
    <row r="41" spans="1:14">
      <c r="A41" s="22"/>
      <c r="B41" s="22"/>
      <c r="C41" s="65"/>
      <c r="D41" s="65"/>
      <c r="E41" s="65"/>
      <c r="F41" s="65"/>
      <c r="G41" s="65"/>
      <c r="H41" s="65"/>
      <c r="I41" s="65"/>
      <c r="J41" s="65"/>
      <c r="K41" s="22"/>
      <c r="L41" s="22"/>
      <c r="M41" s="22"/>
      <c r="N41" s="22"/>
    </row>
    <row r="42" spans="1:14">
      <c r="A42" s="22"/>
      <c r="B42" s="22"/>
      <c r="C42" s="65"/>
      <c r="D42" s="65"/>
      <c r="E42" s="65"/>
      <c r="F42" s="65"/>
      <c r="G42" s="65"/>
      <c r="H42" s="65"/>
      <c r="I42" s="65"/>
      <c r="J42" s="65"/>
      <c r="K42" s="22"/>
      <c r="L42" s="22"/>
      <c r="M42" s="22"/>
      <c r="N42" s="22"/>
    </row>
    <row r="43" spans="1:14">
      <c r="A43" s="22"/>
      <c r="B43" s="22"/>
      <c r="C43" s="65"/>
      <c r="D43" s="65"/>
      <c r="E43" s="65"/>
      <c r="F43" s="65"/>
      <c r="G43" s="65"/>
      <c r="H43" s="65"/>
      <c r="I43" s="65"/>
      <c r="J43" s="65"/>
      <c r="K43" s="22"/>
      <c r="L43" s="22"/>
      <c r="M43" s="22"/>
      <c r="N43" s="22"/>
    </row>
    <row r="44" spans="1:14">
      <c r="A44" s="22"/>
      <c r="B44" s="22"/>
      <c r="C44" s="22"/>
      <c r="D44" s="22"/>
      <c r="E44" s="22"/>
      <c r="F44" s="22"/>
      <c r="G44" s="22"/>
      <c r="H44" s="22"/>
      <c r="I44" s="22"/>
      <c r="J44" s="22"/>
      <c r="K44" s="22"/>
      <c r="L44" s="22"/>
      <c r="M44" s="22"/>
      <c r="N44" s="22"/>
    </row>
    <row r="45" spans="1:14">
      <c r="A45" s="22"/>
      <c r="B45" s="22"/>
      <c r="C45" s="22"/>
      <c r="D45" s="22"/>
      <c r="E45" s="22"/>
      <c r="F45" s="22"/>
      <c r="G45" s="22"/>
      <c r="H45" s="22"/>
      <c r="I45" s="22"/>
      <c r="J45" s="22"/>
      <c r="K45" s="22"/>
      <c r="L45" s="22"/>
      <c r="M45" s="22"/>
      <c r="N45" s="22"/>
    </row>
  </sheetData>
  <mergeCells count="17">
    <mergeCell ref="K5:K7"/>
    <mergeCell ref="L5:L7"/>
    <mergeCell ref="M5:M7"/>
    <mergeCell ref="N5:N7"/>
    <mergeCell ref="E5:E7"/>
    <mergeCell ref="F5:F7"/>
    <mergeCell ref="G5:G7"/>
    <mergeCell ref="H5:H7"/>
    <mergeCell ref="I5:I7"/>
    <mergeCell ref="J5:J7"/>
    <mergeCell ref="C1:D1"/>
    <mergeCell ref="C2:D2"/>
    <mergeCell ref="C3:D3"/>
    <mergeCell ref="A5:A7"/>
    <mergeCell ref="B5:B7"/>
    <mergeCell ref="C5:C7"/>
    <mergeCell ref="D5:D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opLeftCell="A16" workbookViewId="0">
      <selection activeCell="A6" sqref="A6:XFD19"/>
    </sheetView>
  </sheetViews>
  <sheetFormatPr defaultRowHeight="15"/>
  <cols>
    <col min="1" max="1" width="8.28515625" customWidth="1"/>
    <col min="3" max="3" width="21.42578125" customWidth="1"/>
    <col min="4" max="4" width="38.85546875" customWidth="1"/>
    <col min="5" max="5" width="12.42578125" customWidth="1"/>
    <col min="8" max="8" width="14.42578125" customWidth="1"/>
    <col min="9" max="9" width="15.7109375" customWidth="1"/>
    <col min="10" max="10" width="16" customWidth="1"/>
    <col min="11" max="11" width="12.5703125" customWidth="1"/>
    <col min="12" max="12" width="12.140625" customWidth="1"/>
    <col min="15" max="15" width="13" customWidth="1"/>
    <col min="16" max="16" width="7.140625" customWidth="1"/>
  </cols>
  <sheetData>
    <row r="1" spans="1:16">
      <c r="A1" s="209"/>
      <c r="B1" s="210" t="s">
        <v>17</v>
      </c>
      <c r="C1" s="481" t="s">
        <v>439</v>
      </c>
      <c r="D1" s="481"/>
      <c r="E1" s="211"/>
      <c r="F1" s="211"/>
      <c r="G1" s="212"/>
      <c r="H1" s="213"/>
      <c r="I1" s="214"/>
      <c r="J1" s="214"/>
      <c r="K1" s="214"/>
      <c r="L1" s="214"/>
      <c r="M1" s="214"/>
      <c r="N1" s="214"/>
      <c r="O1" s="214"/>
      <c r="P1" s="215"/>
    </row>
    <row r="2" spans="1:16" ht="15.75">
      <c r="A2" s="209"/>
      <c r="B2" s="210" t="s">
        <v>19</v>
      </c>
      <c r="C2" s="482">
        <v>42991</v>
      </c>
      <c r="D2" s="482"/>
      <c r="E2" s="216"/>
      <c r="F2" s="216"/>
      <c r="G2" s="217"/>
      <c r="H2" s="213"/>
      <c r="I2" s="214"/>
      <c r="J2" s="214"/>
      <c r="K2" s="214"/>
      <c r="L2" s="214"/>
      <c r="M2" s="214"/>
      <c r="N2" s="214"/>
      <c r="O2" s="25">
        <v>42968</v>
      </c>
      <c r="P2" s="215"/>
    </row>
    <row r="3" spans="1:16" ht="25.5">
      <c r="A3" s="209"/>
      <c r="B3" s="210" t="s">
        <v>20</v>
      </c>
      <c r="C3" s="481" t="s">
        <v>440</v>
      </c>
      <c r="D3" s="481"/>
      <c r="E3" s="211"/>
      <c r="F3" s="211"/>
      <c r="G3" s="212"/>
      <c r="H3" s="213"/>
      <c r="I3" s="214"/>
      <c r="J3" s="214"/>
      <c r="K3" s="214"/>
      <c r="L3" s="214"/>
      <c r="M3" s="214"/>
      <c r="N3" s="214"/>
      <c r="O3" s="214"/>
      <c r="P3" s="215"/>
    </row>
    <row r="4" spans="1:16" ht="15.75" thickBot="1">
      <c r="A4" s="209"/>
      <c r="B4" s="218"/>
      <c r="C4" s="219"/>
      <c r="D4" s="209"/>
      <c r="E4" s="220"/>
      <c r="F4" s="220"/>
      <c r="G4" s="209"/>
      <c r="H4" s="213"/>
      <c r="I4" s="214"/>
      <c r="J4" s="214"/>
      <c r="K4" s="214"/>
      <c r="L4" s="214"/>
      <c r="M4" s="214"/>
      <c r="N4" s="214"/>
      <c r="O4" s="214"/>
      <c r="P4" s="215"/>
    </row>
    <row r="5" spans="1:16" ht="51.75">
      <c r="A5" s="221" t="s">
        <v>57</v>
      </c>
      <c r="B5" s="222" t="s">
        <v>22</v>
      </c>
      <c r="C5" s="222" t="s">
        <v>23</v>
      </c>
      <c r="D5" s="222" t="s">
        <v>24</v>
      </c>
      <c r="E5" s="223" t="s">
        <v>441</v>
      </c>
      <c r="F5" s="223" t="s">
        <v>442</v>
      </c>
      <c r="G5" s="222" t="s">
        <v>25</v>
      </c>
      <c r="H5" s="224" t="s">
        <v>15</v>
      </c>
      <c r="I5" s="225" t="s">
        <v>443</v>
      </c>
      <c r="J5" s="225" t="s">
        <v>26</v>
      </c>
      <c r="K5" s="226" t="s">
        <v>27</v>
      </c>
      <c r="L5" s="227" t="s">
        <v>28</v>
      </c>
      <c r="M5" s="228" t="s">
        <v>13</v>
      </c>
      <c r="N5" s="228" t="s">
        <v>444</v>
      </c>
      <c r="O5" s="225" t="s">
        <v>9</v>
      </c>
      <c r="P5" s="229" t="s">
        <v>31</v>
      </c>
    </row>
    <row r="6" spans="1:16" s="29" customFormat="1" ht="76.5">
      <c r="A6" s="230">
        <v>1</v>
      </c>
      <c r="B6" s="231" t="s">
        <v>445</v>
      </c>
      <c r="C6" s="232" t="s">
        <v>446</v>
      </c>
      <c r="D6" s="233" t="s">
        <v>447</v>
      </c>
      <c r="E6" s="234"/>
      <c r="F6" s="234"/>
      <c r="G6" s="235" t="s">
        <v>448</v>
      </c>
      <c r="H6" s="236">
        <v>750000</v>
      </c>
      <c r="I6" s="236">
        <v>750000</v>
      </c>
      <c r="J6" s="256"/>
      <c r="K6" s="256"/>
      <c r="L6" s="256"/>
      <c r="M6" s="256"/>
      <c r="N6" s="256"/>
      <c r="O6" s="257">
        <f t="shared" ref="O6:O20" si="0">H6-M6-N6</f>
        <v>750000</v>
      </c>
      <c r="P6" s="258" t="s">
        <v>35</v>
      </c>
    </row>
    <row r="7" spans="1:16" s="29" customFormat="1" ht="114.75">
      <c r="A7" s="230">
        <f t="shared" ref="A7:A19" ca="1" si="1">OFFSET(A7,-1,0)+1</f>
        <v>2</v>
      </c>
      <c r="B7" s="240" t="s">
        <v>449</v>
      </c>
      <c r="C7" s="241" t="s">
        <v>450</v>
      </c>
      <c r="D7" s="242" t="s">
        <v>451</v>
      </c>
      <c r="E7" s="234" t="s">
        <v>452</v>
      </c>
      <c r="F7" s="234" t="s">
        <v>452</v>
      </c>
      <c r="G7" s="235" t="s">
        <v>453</v>
      </c>
      <c r="H7" s="236">
        <v>1700000</v>
      </c>
      <c r="I7" s="236">
        <v>1700000</v>
      </c>
      <c r="J7" s="259">
        <v>43708</v>
      </c>
      <c r="K7" s="256"/>
      <c r="L7" s="256"/>
      <c r="M7" s="256"/>
      <c r="N7" s="256"/>
      <c r="O7" s="257">
        <f t="shared" si="0"/>
        <v>1700000</v>
      </c>
      <c r="P7" s="258" t="s">
        <v>35</v>
      </c>
    </row>
    <row r="8" spans="1:16" s="29" customFormat="1" ht="63.75">
      <c r="A8" s="230">
        <f t="shared" ca="1" si="1"/>
        <v>3</v>
      </c>
      <c r="B8" s="231" t="s">
        <v>454</v>
      </c>
      <c r="C8" s="243" t="s">
        <v>455</v>
      </c>
      <c r="D8" s="243" t="s">
        <v>456</v>
      </c>
      <c r="E8" s="234"/>
      <c r="F8" s="234"/>
      <c r="G8" s="235" t="s">
        <v>453</v>
      </c>
      <c r="H8" s="236">
        <v>1300000</v>
      </c>
      <c r="I8" s="236">
        <v>1300000</v>
      </c>
      <c r="J8" s="259">
        <v>43708</v>
      </c>
      <c r="K8" s="256"/>
      <c r="L8" s="256"/>
      <c r="M8" s="256"/>
      <c r="N8" s="256"/>
      <c r="O8" s="257">
        <f t="shared" si="0"/>
        <v>1300000</v>
      </c>
      <c r="P8" s="258" t="s">
        <v>35</v>
      </c>
    </row>
    <row r="9" spans="1:16" s="29" customFormat="1" ht="89.25">
      <c r="A9" s="230">
        <f t="shared" ca="1" si="1"/>
        <v>4</v>
      </c>
      <c r="B9" s="244" t="s">
        <v>457</v>
      </c>
      <c r="C9" s="245" t="s">
        <v>458</v>
      </c>
      <c r="D9" s="245" t="s">
        <v>459</v>
      </c>
      <c r="E9" s="234"/>
      <c r="F9" s="234"/>
      <c r="G9" s="235" t="s">
        <v>453</v>
      </c>
      <c r="H9" s="236">
        <v>1000000</v>
      </c>
      <c r="I9" s="236">
        <v>1000000</v>
      </c>
      <c r="J9" s="259">
        <v>43708</v>
      </c>
      <c r="K9" s="256"/>
      <c r="L9" s="256"/>
      <c r="M9" s="256"/>
      <c r="N9" s="256"/>
      <c r="O9" s="257">
        <f t="shared" si="0"/>
        <v>1000000</v>
      </c>
      <c r="P9" s="258" t="s">
        <v>35</v>
      </c>
    </row>
    <row r="10" spans="1:16" s="29" customFormat="1" ht="63.75">
      <c r="A10" s="230">
        <f t="shared" ca="1" si="1"/>
        <v>5</v>
      </c>
      <c r="B10" s="240" t="s">
        <v>460</v>
      </c>
      <c r="C10" s="232" t="s">
        <v>461</v>
      </c>
      <c r="D10" s="242" t="s">
        <v>462</v>
      </c>
      <c r="E10" s="234"/>
      <c r="F10" s="234"/>
      <c r="G10" s="235" t="s">
        <v>453</v>
      </c>
      <c r="H10" s="236">
        <v>1000000</v>
      </c>
      <c r="I10" s="236">
        <v>1000000</v>
      </c>
      <c r="J10" s="259">
        <v>43708</v>
      </c>
      <c r="K10" s="256"/>
      <c r="L10" s="256"/>
      <c r="M10" s="256"/>
      <c r="N10" s="256"/>
      <c r="O10" s="257">
        <f t="shared" si="0"/>
        <v>1000000</v>
      </c>
      <c r="P10" s="258" t="s">
        <v>35</v>
      </c>
    </row>
    <row r="11" spans="1:16" s="29" customFormat="1" ht="38.25">
      <c r="A11" s="230">
        <f t="shared" ca="1" si="1"/>
        <v>6</v>
      </c>
      <c r="B11" s="240" t="s">
        <v>463</v>
      </c>
      <c r="C11" s="232" t="s">
        <v>464</v>
      </c>
      <c r="D11" s="233" t="s">
        <v>465</v>
      </c>
      <c r="E11" s="234"/>
      <c r="F11" s="234"/>
      <c r="G11" s="235" t="s">
        <v>453</v>
      </c>
      <c r="H11" s="236">
        <v>450000</v>
      </c>
      <c r="I11" s="236">
        <v>450000</v>
      </c>
      <c r="J11" s="259">
        <v>43708</v>
      </c>
      <c r="K11" s="256"/>
      <c r="L11" s="256"/>
      <c r="M11" s="256"/>
      <c r="N11" s="256"/>
      <c r="O11" s="257">
        <f t="shared" si="0"/>
        <v>450000</v>
      </c>
      <c r="P11" s="258" t="s">
        <v>35</v>
      </c>
    </row>
    <row r="12" spans="1:16" s="29" customFormat="1" ht="38.25">
      <c r="A12" s="230">
        <f t="shared" ca="1" si="1"/>
        <v>7</v>
      </c>
      <c r="B12" s="242" t="s">
        <v>466</v>
      </c>
      <c r="C12" s="241" t="s">
        <v>467</v>
      </c>
      <c r="D12" s="242" t="s">
        <v>468</v>
      </c>
      <c r="E12" s="234" t="s">
        <v>469</v>
      </c>
      <c r="F12" s="234" t="s">
        <v>469</v>
      </c>
      <c r="G12" s="235" t="s">
        <v>453</v>
      </c>
      <c r="H12" s="236">
        <v>300000</v>
      </c>
      <c r="I12" s="236">
        <v>300000</v>
      </c>
      <c r="J12" s="259">
        <v>43708</v>
      </c>
      <c r="K12" s="256"/>
      <c r="L12" s="256"/>
      <c r="M12" s="256"/>
      <c r="N12" s="256"/>
      <c r="O12" s="257">
        <f t="shared" si="0"/>
        <v>300000</v>
      </c>
      <c r="P12" s="258" t="s">
        <v>35</v>
      </c>
    </row>
    <row r="13" spans="1:16" s="29" customFormat="1" ht="63.75">
      <c r="A13" s="230">
        <f t="shared" ca="1" si="1"/>
        <v>8</v>
      </c>
      <c r="B13" s="242" t="s">
        <v>470</v>
      </c>
      <c r="C13" s="246" t="s">
        <v>471</v>
      </c>
      <c r="D13" s="242" t="s">
        <v>472</v>
      </c>
      <c r="E13" s="234"/>
      <c r="F13" s="234"/>
      <c r="G13" s="235" t="s">
        <v>453</v>
      </c>
      <c r="H13" s="236">
        <v>2950000</v>
      </c>
      <c r="I13" s="236">
        <v>2950000</v>
      </c>
      <c r="J13" s="259">
        <v>43708</v>
      </c>
      <c r="K13" s="256"/>
      <c r="L13" s="256"/>
      <c r="M13" s="256"/>
      <c r="N13" s="256"/>
      <c r="O13" s="257">
        <f t="shared" si="0"/>
        <v>2950000</v>
      </c>
      <c r="P13" s="258" t="s">
        <v>35</v>
      </c>
    </row>
    <row r="14" spans="1:16" s="29" customFormat="1" ht="51">
      <c r="A14" s="230">
        <f t="shared" ca="1" si="1"/>
        <v>9</v>
      </c>
      <c r="B14" s="242" t="s">
        <v>473</v>
      </c>
      <c r="C14" s="246" t="s">
        <v>474</v>
      </c>
      <c r="D14" s="246" t="s">
        <v>475</v>
      </c>
      <c r="E14" s="246"/>
      <c r="F14" s="246"/>
      <c r="G14" s="235" t="s">
        <v>453</v>
      </c>
      <c r="H14" s="236">
        <v>275000</v>
      </c>
      <c r="I14" s="236">
        <v>275000</v>
      </c>
      <c r="J14" s="259">
        <v>43343</v>
      </c>
      <c r="K14" s="256"/>
      <c r="L14" s="256"/>
      <c r="M14" s="256"/>
      <c r="N14" s="256"/>
      <c r="O14" s="257">
        <f t="shared" si="0"/>
        <v>275000</v>
      </c>
      <c r="P14" s="258" t="s">
        <v>35</v>
      </c>
    </row>
    <row r="15" spans="1:16" s="29" customFormat="1" ht="102">
      <c r="A15" s="230">
        <f t="shared" ca="1" si="1"/>
        <v>10</v>
      </c>
      <c r="B15" s="247" t="s">
        <v>476</v>
      </c>
      <c r="C15" s="246" t="s">
        <v>477</v>
      </c>
      <c r="D15" s="246" t="s">
        <v>478</v>
      </c>
      <c r="E15" s="246"/>
      <c r="F15" s="246"/>
      <c r="G15" s="235" t="s">
        <v>453</v>
      </c>
      <c r="H15" s="236">
        <v>275000</v>
      </c>
      <c r="I15" s="236">
        <v>275000</v>
      </c>
      <c r="J15" s="259">
        <v>43343</v>
      </c>
      <c r="K15" s="256"/>
      <c r="L15" s="256"/>
      <c r="M15" s="256"/>
      <c r="N15" s="256"/>
      <c r="O15" s="257">
        <f t="shared" si="0"/>
        <v>275000</v>
      </c>
      <c r="P15" s="258" t="s">
        <v>35</v>
      </c>
    </row>
    <row r="16" spans="1:16" s="29" customFormat="1" ht="76.5">
      <c r="A16" s="230">
        <f t="shared" ca="1" si="1"/>
        <v>11</v>
      </c>
      <c r="B16" s="247" t="s">
        <v>479</v>
      </c>
      <c r="C16" s="246" t="s">
        <v>480</v>
      </c>
      <c r="D16" s="232" t="s">
        <v>481</v>
      </c>
      <c r="E16" s="246"/>
      <c r="F16" s="246"/>
      <c r="G16" s="235" t="s">
        <v>453</v>
      </c>
      <c r="H16" s="236">
        <v>375000</v>
      </c>
      <c r="I16" s="236">
        <v>375000</v>
      </c>
      <c r="J16" s="259">
        <v>43343</v>
      </c>
      <c r="K16" s="256"/>
      <c r="L16" s="256"/>
      <c r="M16" s="256"/>
      <c r="N16" s="256"/>
      <c r="O16" s="257">
        <f t="shared" si="0"/>
        <v>375000</v>
      </c>
      <c r="P16" s="258" t="s">
        <v>35</v>
      </c>
    </row>
    <row r="17" spans="1:16" s="29" customFormat="1" ht="76.5">
      <c r="A17" s="230">
        <f t="shared" ca="1" si="1"/>
        <v>12</v>
      </c>
      <c r="B17" s="247" t="s">
        <v>482</v>
      </c>
      <c r="C17" s="245" t="s">
        <v>483</v>
      </c>
      <c r="D17" s="245" t="s">
        <v>484</v>
      </c>
      <c r="E17" s="234"/>
      <c r="F17" s="234"/>
      <c r="G17" s="235" t="s">
        <v>453</v>
      </c>
      <c r="H17" s="248">
        <v>150000</v>
      </c>
      <c r="I17" s="248">
        <v>150000</v>
      </c>
      <c r="J17" s="259">
        <v>43343</v>
      </c>
      <c r="K17" s="256"/>
      <c r="L17" s="256"/>
      <c r="M17" s="256"/>
      <c r="N17" s="256"/>
      <c r="O17" s="257">
        <f t="shared" si="0"/>
        <v>150000</v>
      </c>
      <c r="P17" s="258" t="s">
        <v>35</v>
      </c>
    </row>
    <row r="18" spans="1:16" s="29" customFormat="1" ht="76.5">
      <c r="A18" s="230">
        <f t="shared" ca="1" si="1"/>
        <v>13</v>
      </c>
      <c r="B18" s="247" t="s">
        <v>485</v>
      </c>
      <c r="C18" s="245" t="s">
        <v>486</v>
      </c>
      <c r="D18" s="245" t="s">
        <v>487</v>
      </c>
      <c r="E18" s="234"/>
      <c r="F18" s="234"/>
      <c r="G18" s="235" t="s">
        <v>453</v>
      </c>
      <c r="H18" s="248">
        <v>100000</v>
      </c>
      <c r="I18" s="248">
        <v>100000</v>
      </c>
      <c r="J18" s="259">
        <v>43343</v>
      </c>
      <c r="K18" s="256"/>
      <c r="L18" s="256"/>
      <c r="M18" s="256"/>
      <c r="N18" s="256"/>
      <c r="O18" s="257">
        <f t="shared" si="0"/>
        <v>100000</v>
      </c>
      <c r="P18" s="258" t="s">
        <v>35</v>
      </c>
    </row>
    <row r="19" spans="1:16" s="29" customFormat="1" ht="51.75" thickBot="1">
      <c r="A19" s="230">
        <f t="shared" ca="1" si="1"/>
        <v>14</v>
      </c>
      <c r="B19" s="247" t="s">
        <v>488</v>
      </c>
      <c r="C19" s="241" t="s">
        <v>489</v>
      </c>
      <c r="D19" s="242" t="s">
        <v>490</v>
      </c>
      <c r="E19" s="234" t="s">
        <v>452</v>
      </c>
      <c r="F19" s="234" t="s">
        <v>452</v>
      </c>
      <c r="G19" s="235" t="s">
        <v>453</v>
      </c>
      <c r="H19" s="249">
        <v>1375000</v>
      </c>
      <c r="I19" s="249">
        <v>1375000</v>
      </c>
      <c r="J19" s="259">
        <v>43708</v>
      </c>
      <c r="K19" s="256"/>
      <c r="L19" s="256"/>
      <c r="M19" s="256"/>
      <c r="N19" s="256"/>
      <c r="O19" s="257">
        <f t="shared" si="0"/>
        <v>1375000</v>
      </c>
      <c r="P19" s="258" t="s">
        <v>35</v>
      </c>
    </row>
    <row r="20" spans="1:16" ht="15.75" thickBot="1">
      <c r="A20" s="250"/>
      <c r="B20" s="250"/>
      <c r="C20" s="218"/>
      <c r="D20" s="251"/>
      <c r="E20" s="252"/>
      <c r="F20" s="252"/>
      <c r="G20" s="253" t="s">
        <v>54</v>
      </c>
      <c r="H20" s="254">
        <f>SUM(H6:H19)</f>
        <v>12000000</v>
      </c>
      <c r="I20" s="254">
        <f>SUM(I6:I19)</f>
        <v>12000000</v>
      </c>
      <c r="J20" s="255"/>
      <c r="K20" s="237"/>
      <c r="L20" s="237"/>
      <c r="M20" s="237"/>
      <c r="N20" s="237"/>
      <c r="O20" s="238">
        <f t="shared" si="0"/>
        <v>12000000</v>
      </c>
      <c r="P20" s="239"/>
    </row>
  </sheetData>
  <mergeCells count="3">
    <mergeCell ref="C1:D1"/>
    <mergeCell ref="C2:D2"/>
    <mergeCell ref="C3: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opLeftCell="A10" workbookViewId="0">
      <selection activeCell="F23" sqref="F23"/>
    </sheetView>
  </sheetViews>
  <sheetFormatPr defaultRowHeight="15"/>
  <cols>
    <col min="2" max="2" width="15.28515625" customWidth="1"/>
    <col min="3" max="3" width="20.140625" customWidth="1"/>
    <col min="4" max="4" width="37.7109375" customWidth="1"/>
    <col min="5" max="5" width="14.28515625" customWidth="1"/>
    <col min="6" max="6" width="16.28515625" customWidth="1"/>
    <col min="7" max="7" width="17.28515625" customWidth="1"/>
    <col min="8" max="8" width="15.7109375" customWidth="1"/>
    <col min="9" max="9" width="14.5703125" customWidth="1"/>
    <col min="10" max="10" width="13.5703125" customWidth="1"/>
    <col min="11" max="11" width="15.85546875" customWidth="1"/>
    <col min="12" max="12" width="13.7109375" customWidth="1"/>
    <col min="13" max="13" width="16.42578125" customWidth="1"/>
  </cols>
  <sheetData>
    <row r="1" spans="1:14" ht="15.75">
      <c r="A1" s="333"/>
      <c r="B1" s="334" t="s">
        <v>17</v>
      </c>
      <c r="C1" s="494" t="s">
        <v>771</v>
      </c>
      <c r="D1" s="495"/>
      <c r="E1" s="335"/>
      <c r="F1" s="336"/>
      <c r="G1" s="336"/>
      <c r="H1" s="182"/>
      <c r="I1" s="138"/>
      <c r="J1" s="182"/>
      <c r="K1" s="336"/>
      <c r="L1" s="333"/>
      <c r="M1" s="333"/>
      <c r="N1" s="333"/>
    </row>
    <row r="2" spans="1:14" ht="15.75">
      <c r="A2" s="333"/>
      <c r="B2" s="334" t="s">
        <v>19</v>
      </c>
      <c r="C2" s="496">
        <f ca="1">TODAY()</f>
        <v>43040</v>
      </c>
      <c r="D2" s="497"/>
      <c r="E2" s="337"/>
      <c r="F2" s="336"/>
      <c r="G2" s="338"/>
      <c r="H2" s="187"/>
      <c r="I2" s="138"/>
      <c r="J2" s="138"/>
      <c r="K2" s="336"/>
      <c r="L2" s="333"/>
      <c r="M2" s="339">
        <f ca="1">C2</f>
        <v>43040</v>
      </c>
      <c r="N2" s="333"/>
    </row>
    <row r="3" spans="1:14" ht="31.5">
      <c r="A3" s="333"/>
      <c r="B3" s="334" t="s">
        <v>20</v>
      </c>
      <c r="C3" s="498"/>
      <c r="D3" s="499"/>
      <c r="E3" s="340"/>
      <c r="F3" s="336"/>
      <c r="G3" s="336"/>
      <c r="H3" s="182"/>
      <c r="I3" s="182"/>
      <c r="J3" s="182"/>
      <c r="K3" s="336"/>
      <c r="L3" s="333"/>
      <c r="M3" s="333"/>
      <c r="N3" s="333"/>
    </row>
    <row r="4" spans="1:14" ht="15.75">
      <c r="A4" s="333"/>
      <c r="B4" s="341"/>
      <c r="C4" s="342"/>
      <c r="D4" s="343"/>
      <c r="E4" s="343"/>
      <c r="F4" s="336"/>
      <c r="G4" s="336"/>
      <c r="H4" s="182"/>
      <c r="I4" s="182"/>
      <c r="J4" s="182"/>
      <c r="K4" s="336"/>
      <c r="L4" s="333"/>
      <c r="M4" s="333"/>
      <c r="N4" s="333"/>
    </row>
    <row r="5" spans="1:14" ht="47.25" customHeight="1">
      <c r="A5" s="486" t="s">
        <v>57</v>
      </c>
      <c r="B5" s="489" t="s">
        <v>22</v>
      </c>
      <c r="C5" s="489" t="s">
        <v>23</v>
      </c>
      <c r="D5" s="489" t="s">
        <v>24</v>
      </c>
      <c r="E5" s="489" t="s">
        <v>25</v>
      </c>
      <c r="F5" s="490" t="s">
        <v>15</v>
      </c>
      <c r="G5" s="490" t="s">
        <v>772</v>
      </c>
      <c r="H5" s="486" t="s">
        <v>26</v>
      </c>
      <c r="I5" s="491" t="s">
        <v>27</v>
      </c>
      <c r="J5" s="489" t="s">
        <v>28</v>
      </c>
      <c r="K5" s="483" t="s">
        <v>13</v>
      </c>
      <c r="L5" s="486" t="s">
        <v>11</v>
      </c>
      <c r="M5" s="486" t="s">
        <v>9</v>
      </c>
      <c r="N5" s="486" t="s">
        <v>31</v>
      </c>
    </row>
    <row r="6" spans="1:14" ht="47.25" customHeight="1">
      <c r="A6" s="487"/>
      <c r="B6" s="489"/>
      <c r="C6" s="489"/>
      <c r="D6" s="489"/>
      <c r="E6" s="489"/>
      <c r="F6" s="490"/>
      <c r="G6" s="490"/>
      <c r="H6" s="487"/>
      <c r="I6" s="492"/>
      <c r="J6" s="489"/>
      <c r="K6" s="484"/>
      <c r="L6" s="487"/>
      <c r="M6" s="487"/>
      <c r="N6" s="487"/>
    </row>
    <row r="7" spans="1:14" ht="47.25" customHeight="1">
      <c r="A7" s="488"/>
      <c r="B7" s="489"/>
      <c r="C7" s="489"/>
      <c r="D7" s="489"/>
      <c r="E7" s="489"/>
      <c r="F7" s="490"/>
      <c r="G7" s="490"/>
      <c r="H7" s="488"/>
      <c r="I7" s="493"/>
      <c r="J7" s="489"/>
      <c r="K7" s="485"/>
      <c r="L7" s="488"/>
      <c r="M7" s="488"/>
      <c r="N7" s="488"/>
    </row>
    <row r="8" spans="1:14" s="29" customFormat="1" ht="105">
      <c r="A8" s="344">
        <v>1</v>
      </c>
      <c r="B8" s="134">
        <v>48120206</v>
      </c>
      <c r="C8" s="32" t="s">
        <v>773</v>
      </c>
      <c r="D8" s="345" t="s">
        <v>774</v>
      </c>
      <c r="E8" s="134" t="s">
        <v>775</v>
      </c>
      <c r="F8" s="346">
        <v>2500000</v>
      </c>
      <c r="G8" s="347">
        <f>F8</f>
        <v>2500000</v>
      </c>
      <c r="H8" s="201" t="s">
        <v>776</v>
      </c>
      <c r="I8" s="131">
        <v>0</v>
      </c>
      <c r="J8" s="131">
        <v>0</v>
      </c>
      <c r="K8" s="150">
        <v>0</v>
      </c>
      <c r="L8" s="132">
        <v>0</v>
      </c>
      <c r="M8" s="130">
        <f>G8-K8-L8</f>
        <v>2500000</v>
      </c>
      <c r="N8" s="134" t="s">
        <v>777</v>
      </c>
    </row>
    <row r="9" spans="1:14" ht="105">
      <c r="A9" s="349">
        <v>2</v>
      </c>
      <c r="B9" s="46">
        <v>48190030</v>
      </c>
      <c r="C9" s="32" t="s">
        <v>778</v>
      </c>
      <c r="D9" s="350" t="s">
        <v>779</v>
      </c>
      <c r="E9" s="134" t="s">
        <v>775</v>
      </c>
      <c r="F9" s="346">
        <v>2500000</v>
      </c>
      <c r="G9" s="347">
        <f>F9</f>
        <v>2500000</v>
      </c>
      <c r="H9" s="348" t="s">
        <v>780</v>
      </c>
      <c r="I9" s="131">
        <v>0</v>
      </c>
      <c r="J9" s="131">
        <v>0</v>
      </c>
      <c r="K9" s="150">
        <v>0</v>
      </c>
      <c r="L9" s="132">
        <v>0</v>
      </c>
      <c r="M9" s="130">
        <f t="shared" ref="M9:M12" si="0">G9-K9-L9</f>
        <v>2500000</v>
      </c>
      <c r="N9" s="46" t="s">
        <v>777</v>
      </c>
    </row>
    <row r="10" spans="1:14" s="29" customFormat="1" ht="105">
      <c r="A10" s="344">
        <v>3</v>
      </c>
      <c r="B10" s="134">
        <v>48140040</v>
      </c>
      <c r="C10" s="32" t="s">
        <v>781</v>
      </c>
      <c r="D10" s="350" t="s">
        <v>782</v>
      </c>
      <c r="E10" s="134" t="s">
        <v>775</v>
      </c>
      <c r="F10" s="346">
        <v>1500000</v>
      </c>
      <c r="G10" s="347">
        <f>F10</f>
        <v>1500000</v>
      </c>
      <c r="H10" s="201" t="s">
        <v>783</v>
      </c>
      <c r="I10" s="131">
        <v>0</v>
      </c>
      <c r="J10" s="131">
        <v>0</v>
      </c>
      <c r="K10" s="150">
        <v>0</v>
      </c>
      <c r="L10" s="132">
        <v>0</v>
      </c>
      <c r="M10" s="130">
        <f t="shared" si="0"/>
        <v>1500000</v>
      </c>
      <c r="N10" s="134" t="s">
        <v>777</v>
      </c>
    </row>
    <row r="11" spans="1:14" ht="105">
      <c r="A11" s="349">
        <v>4</v>
      </c>
      <c r="B11" s="46">
        <v>48180020</v>
      </c>
      <c r="C11" s="32" t="s">
        <v>784</v>
      </c>
      <c r="D11" s="345" t="s">
        <v>785</v>
      </c>
      <c r="E11" s="134" t="s">
        <v>775</v>
      </c>
      <c r="F11" s="346">
        <v>2000000</v>
      </c>
      <c r="G11" s="351">
        <f>F11</f>
        <v>2000000</v>
      </c>
      <c r="H11" s="348" t="s">
        <v>786</v>
      </c>
      <c r="I11" s="131">
        <v>0</v>
      </c>
      <c r="J11" s="131">
        <v>0</v>
      </c>
      <c r="K11" s="150">
        <v>0</v>
      </c>
      <c r="L11" s="132">
        <v>0</v>
      </c>
      <c r="M11" s="130">
        <f t="shared" si="0"/>
        <v>2000000</v>
      </c>
      <c r="N11" s="46" t="s">
        <v>777</v>
      </c>
    </row>
    <row r="12" spans="1:14" s="29" customFormat="1" ht="105">
      <c r="A12" s="134">
        <v>5</v>
      </c>
      <c r="B12" s="134">
        <v>48190020</v>
      </c>
      <c r="C12" s="45" t="s">
        <v>787</v>
      </c>
      <c r="D12" s="345" t="s">
        <v>788</v>
      </c>
      <c r="E12" s="134" t="s">
        <v>775</v>
      </c>
      <c r="F12" s="346">
        <v>2500000</v>
      </c>
      <c r="G12" s="351">
        <f>F12</f>
        <v>2500000</v>
      </c>
      <c r="H12" s="201" t="s">
        <v>786</v>
      </c>
      <c r="I12" s="131">
        <v>0</v>
      </c>
      <c r="J12" s="131">
        <v>0</v>
      </c>
      <c r="K12" s="150">
        <v>0</v>
      </c>
      <c r="L12" s="132">
        <v>0</v>
      </c>
      <c r="M12" s="130">
        <f t="shared" si="0"/>
        <v>2500000</v>
      </c>
      <c r="N12" s="134" t="s">
        <v>777</v>
      </c>
    </row>
    <row r="13" spans="1:14">
      <c r="A13" s="46"/>
      <c r="B13" s="46"/>
      <c r="C13" s="45"/>
      <c r="D13" s="45"/>
      <c r="E13" s="45"/>
      <c r="F13" s="129"/>
      <c r="G13" s="352"/>
      <c r="H13" s="348"/>
      <c r="I13" s="353"/>
      <c r="J13" s="353"/>
      <c r="K13" s="150"/>
      <c r="L13" s="150"/>
      <c r="M13" s="130"/>
      <c r="N13" s="134"/>
    </row>
    <row r="14" spans="1:14">
      <c r="A14" s="46"/>
      <c r="B14" s="46"/>
      <c r="C14" s="45"/>
      <c r="D14" s="45"/>
      <c r="E14" s="45"/>
      <c r="F14" s="129"/>
      <c r="G14" s="352"/>
      <c r="H14" s="348"/>
      <c r="I14" s="353"/>
      <c r="J14" s="353"/>
      <c r="K14" s="150"/>
      <c r="L14" s="150"/>
      <c r="M14" s="129"/>
      <c r="N14" s="134"/>
    </row>
    <row r="15" spans="1:14">
      <c r="A15" s="46"/>
      <c r="B15" s="46"/>
      <c r="C15" s="45"/>
      <c r="D15" s="45"/>
      <c r="E15" s="45"/>
      <c r="F15" s="129"/>
      <c r="G15" s="352"/>
      <c r="H15" s="348"/>
      <c r="I15" s="353"/>
      <c r="J15" s="353"/>
      <c r="K15" s="150"/>
      <c r="L15" s="150"/>
      <c r="M15" s="129"/>
      <c r="N15" s="134"/>
    </row>
    <row r="16" spans="1:14">
      <c r="A16" s="46"/>
      <c r="B16" s="46"/>
      <c r="C16" s="45"/>
      <c r="D16" s="45"/>
      <c r="E16" s="45"/>
      <c r="F16" s="354"/>
      <c r="G16" s="355"/>
      <c r="H16" s="348"/>
      <c r="I16" s="353"/>
      <c r="J16" s="353"/>
      <c r="K16" s="356"/>
      <c r="L16" s="356"/>
      <c r="M16" s="354"/>
      <c r="N16" s="46"/>
    </row>
    <row r="17" spans="1:14" ht="15.75">
      <c r="A17" s="137"/>
      <c r="B17" s="138"/>
      <c r="C17" s="137"/>
      <c r="D17" s="137"/>
      <c r="E17" s="139" t="s">
        <v>54</v>
      </c>
      <c r="F17" s="357">
        <f>SUM(F8:F16)</f>
        <v>11000000</v>
      </c>
      <c r="G17" s="357">
        <f>SUM(G8:G16)</f>
        <v>11000000</v>
      </c>
      <c r="H17" s="358"/>
      <c r="I17" s="359"/>
      <c r="J17" s="360"/>
      <c r="K17" s="357">
        <f>SUM(K8:K16)</f>
        <v>0</v>
      </c>
      <c r="L17" s="361">
        <f>SUM(L8:L16)</f>
        <v>0</v>
      </c>
      <c r="M17" s="361">
        <f>SUM(M8:M16)</f>
        <v>11000000</v>
      </c>
      <c r="N17" s="143"/>
    </row>
  </sheetData>
  <mergeCells count="17">
    <mergeCell ref="C1:D1"/>
    <mergeCell ref="C2:D2"/>
    <mergeCell ref="C3:D3"/>
    <mergeCell ref="A5:A7"/>
    <mergeCell ref="B5:B7"/>
    <mergeCell ref="C5:C7"/>
    <mergeCell ref="D5:D7"/>
    <mergeCell ref="K5:K7"/>
    <mergeCell ref="L5:L7"/>
    <mergeCell ref="M5:M7"/>
    <mergeCell ref="N5:N7"/>
    <mergeCell ref="E5:E7"/>
    <mergeCell ref="F5:F7"/>
    <mergeCell ref="G5:G7"/>
    <mergeCell ref="H5:H7"/>
    <mergeCell ref="I5:I7"/>
    <mergeCell ref="J5:J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opLeftCell="A13" workbookViewId="0">
      <selection activeCell="B8" sqref="B8"/>
    </sheetView>
  </sheetViews>
  <sheetFormatPr defaultRowHeight="15"/>
  <cols>
    <col min="2" max="2" width="15" customWidth="1"/>
    <col min="3" max="3" width="17.140625" customWidth="1"/>
    <col min="4" max="4" width="19.7109375" customWidth="1"/>
    <col min="5" max="5" width="17.7109375" customWidth="1"/>
    <col min="6" max="6" width="17.28515625" customWidth="1"/>
    <col min="7" max="7" width="19.28515625" customWidth="1"/>
    <col min="10" max="10" width="14.28515625" customWidth="1"/>
  </cols>
  <sheetData>
    <row r="1" spans="1:11" ht="15.75">
      <c r="A1" s="333"/>
      <c r="B1" s="334" t="s">
        <v>17</v>
      </c>
      <c r="C1" s="504" t="s">
        <v>771</v>
      </c>
      <c r="D1" s="504"/>
      <c r="E1" s="362"/>
      <c r="F1" s="363"/>
      <c r="G1" s="362"/>
      <c r="H1" s="336"/>
      <c r="I1" s="333"/>
      <c r="J1" s="333"/>
      <c r="K1" s="333"/>
    </row>
    <row r="2" spans="1:11" ht="15.75">
      <c r="A2" s="333"/>
      <c r="B2" s="334" t="s">
        <v>19</v>
      </c>
      <c r="C2" s="505">
        <f ca="1">TODAY()</f>
        <v>43040</v>
      </c>
      <c r="D2" s="505"/>
      <c r="E2" s="364"/>
      <c r="F2" s="363"/>
      <c r="G2" s="363"/>
      <c r="H2" s="336"/>
      <c r="I2" s="333"/>
      <c r="J2" s="339">
        <f ca="1">C2</f>
        <v>43040</v>
      </c>
      <c r="K2" s="333"/>
    </row>
    <row r="3" spans="1:11" ht="31.5">
      <c r="A3" s="333"/>
      <c r="B3" s="334" t="s">
        <v>20</v>
      </c>
      <c r="C3" s="506"/>
      <c r="D3" s="506"/>
      <c r="E3" s="362"/>
      <c r="F3" s="362"/>
      <c r="G3" s="362"/>
      <c r="H3" s="336"/>
      <c r="I3" s="333"/>
      <c r="J3" s="333"/>
      <c r="K3" s="333"/>
    </row>
    <row r="4" spans="1:11">
      <c r="A4" s="333"/>
      <c r="B4" s="342"/>
      <c r="C4" s="336"/>
      <c r="D4" s="336"/>
      <c r="E4" s="362"/>
      <c r="F4" s="362"/>
      <c r="G4" s="362"/>
      <c r="H4" s="336"/>
      <c r="I4" s="333"/>
      <c r="J4" s="333"/>
      <c r="K4" s="333"/>
    </row>
    <row r="5" spans="1:11" ht="15.75">
      <c r="A5" s="365"/>
      <c r="B5" s="507" t="s">
        <v>789</v>
      </c>
      <c r="C5" s="507"/>
      <c r="D5" s="507"/>
      <c r="E5" s="507"/>
      <c r="F5" s="507"/>
      <c r="G5" s="507"/>
      <c r="H5" s="507"/>
      <c r="I5" s="507"/>
      <c r="J5" s="507"/>
      <c r="K5" s="508"/>
    </row>
    <row r="6" spans="1:11" ht="15.75">
      <c r="A6" s="366"/>
      <c r="B6" s="509"/>
      <c r="C6" s="509"/>
      <c r="D6" s="509"/>
      <c r="E6" s="509"/>
      <c r="F6" s="509"/>
      <c r="G6" s="509"/>
      <c r="H6" s="509"/>
      <c r="I6" s="509"/>
      <c r="J6" s="509"/>
      <c r="K6" s="510"/>
    </row>
    <row r="7" spans="1:11" ht="15.75">
      <c r="A7" s="366"/>
      <c r="B7" s="511"/>
      <c r="C7" s="511"/>
      <c r="D7" s="511"/>
      <c r="E7" s="511"/>
      <c r="F7" s="511"/>
      <c r="G7" s="511"/>
      <c r="H7" s="511"/>
      <c r="I7" s="511"/>
      <c r="J7" s="511"/>
      <c r="K7" s="512"/>
    </row>
    <row r="8" spans="1:11" ht="63">
      <c r="A8" s="367" t="s">
        <v>57</v>
      </c>
      <c r="B8" s="128" t="s">
        <v>23</v>
      </c>
      <c r="C8" s="368" t="s">
        <v>798</v>
      </c>
      <c r="D8" s="369" t="s">
        <v>799</v>
      </c>
      <c r="E8" s="369" t="s">
        <v>800</v>
      </c>
      <c r="F8" s="369" t="s">
        <v>801</v>
      </c>
      <c r="G8" s="369" t="s">
        <v>802</v>
      </c>
      <c r="H8" s="500" t="s">
        <v>803</v>
      </c>
      <c r="I8" s="501"/>
      <c r="J8" s="501"/>
      <c r="K8" s="502"/>
    </row>
    <row r="9" spans="1:11" ht="75">
      <c r="A9" s="344">
        <v>1</v>
      </c>
      <c r="B9" s="32" t="str">
        <f>'[1]1-Template'!C8</f>
        <v>Camp Mabry Admin Offices
2200 W 35th St Bldg 1
Austin, 78730</v>
      </c>
      <c r="C9" s="347">
        <f>'[1]1-Template'!F8*2</f>
        <v>5000000</v>
      </c>
      <c r="D9" s="370">
        <f>C9/2</f>
        <v>2500000</v>
      </c>
      <c r="E9" s="370">
        <v>0</v>
      </c>
      <c r="F9" s="370">
        <v>0</v>
      </c>
      <c r="G9" s="370">
        <f t="shared" ref="G9:G13" si="0">D9-E9-F9</f>
        <v>2500000</v>
      </c>
      <c r="H9" s="494" t="s">
        <v>804</v>
      </c>
      <c r="I9" s="503"/>
      <c r="J9" s="503"/>
      <c r="K9" s="495"/>
    </row>
    <row r="10" spans="1:11" ht="90">
      <c r="A10" s="349">
        <v>2</v>
      </c>
      <c r="B10" s="32" t="str">
        <f>'[1]1-Template'!C9</f>
        <v>Weslaco Readiness Center
1100 Vo-Tech Drive
Weslaco 78596</v>
      </c>
      <c r="C10" s="346">
        <f>'[1]1-Template'!F9*2</f>
        <v>5000000</v>
      </c>
      <c r="D10" s="347">
        <f>C10/2</f>
        <v>2500000</v>
      </c>
      <c r="E10" s="370">
        <v>0</v>
      </c>
      <c r="F10" s="370">
        <v>0</v>
      </c>
      <c r="G10" s="370">
        <f t="shared" si="0"/>
        <v>2500000</v>
      </c>
      <c r="H10" s="494" t="s">
        <v>804</v>
      </c>
      <c r="I10" s="503"/>
      <c r="J10" s="503"/>
      <c r="K10" s="495"/>
    </row>
    <row r="11" spans="1:11" ht="105">
      <c r="A11" s="349">
        <v>3</v>
      </c>
      <c r="B11" s="32" t="str">
        <f>'[1]1-Template'!C10</f>
        <v>Terrell Readiness Center
Lions Club Parkway 
Hwy 80 West
Terrell 75160</v>
      </c>
      <c r="C11" s="346">
        <f>'[1]1-Template'!F10*2</f>
        <v>3000000</v>
      </c>
      <c r="D11" s="347">
        <f t="shared" ref="D11:D13" si="1">C11/2</f>
        <v>1500000</v>
      </c>
      <c r="E11" s="370">
        <v>0</v>
      </c>
      <c r="F11" s="370">
        <v>0</v>
      </c>
      <c r="G11" s="370">
        <f t="shared" si="0"/>
        <v>1500000</v>
      </c>
      <c r="H11" s="494" t="s">
        <v>804</v>
      </c>
      <c r="I11" s="503"/>
      <c r="J11" s="503"/>
      <c r="K11" s="495"/>
    </row>
    <row r="12" spans="1:11" ht="120">
      <c r="A12" s="349">
        <v>4</v>
      </c>
      <c r="B12" s="32" t="str">
        <f>'[1]1-Template'!C11</f>
        <v>Fort Worth Shoreview Readiness Center
8111 Shoreview Dr
Fort Worth 76108</v>
      </c>
      <c r="C12" s="346">
        <f>'[1]1-Template'!F11*2</f>
        <v>4000000</v>
      </c>
      <c r="D12" s="347">
        <f t="shared" si="1"/>
        <v>2000000</v>
      </c>
      <c r="E12" s="370">
        <v>0</v>
      </c>
      <c r="F12" s="370">
        <v>0</v>
      </c>
      <c r="G12" s="370">
        <f t="shared" si="0"/>
        <v>2000000</v>
      </c>
      <c r="H12" s="494" t="s">
        <v>804</v>
      </c>
      <c r="I12" s="503"/>
      <c r="J12" s="503"/>
      <c r="K12" s="495"/>
    </row>
    <row r="13" spans="1:11" ht="120">
      <c r="A13" s="46">
        <v>5</v>
      </c>
      <c r="B13" s="45" t="str">
        <f>'[1]1-Template'!C12</f>
        <v>Fort Worth Cobb Park Readiness Center
2101 Cobb Park Dr
Fort Worth 76105</v>
      </c>
      <c r="C13" s="346">
        <f>'[1]1-Template'!F12*2</f>
        <v>5000000</v>
      </c>
      <c r="D13" s="347">
        <f t="shared" si="1"/>
        <v>2500000</v>
      </c>
      <c r="E13" s="370">
        <v>0</v>
      </c>
      <c r="F13" s="370">
        <v>0</v>
      </c>
      <c r="G13" s="370">
        <f t="shared" si="0"/>
        <v>2500000</v>
      </c>
      <c r="H13" s="494" t="s">
        <v>804</v>
      </c>
      <c r="I13" s="503"/>
      <c r="J13" s="503"/>
      <c r="K13" s="495"/>
    </row>
    <row r="14" spans="1:11" ht="15.75">
      <c r="A14" s="46"/>
      <c r="B14" s="45"/>
      <c r="C14" s="129"/>
      <c r="D14" s="371"/>
      <c r="E14" s="372"/>
      <c r="F14" s="372"/>
      <c r="G14" s="372"/>
      <c r="H14" s="500"/>
      <c r="I14" s="501"/>
      <c r="J14" s="501"/>
      <c r="K14" s="502"/>
    </row>
    <row r="15" spans="1:11" ht="15.75">
      <c r="A15" s="46"/>
      <c r="B15" s="45"/>
      <c r="C15" s="129"/>
      <c r="D15" s="371"/>
      <c r="E15" s="372"/>
      <c r="F15" s="372"/>
      <c r="G15" s="372"/>
      <c r="H15" s="500"/>
      <c r="I15" s="501"/>
      <c r="J15" s="501"/>
      <c r="K15" s="502"/>
    </row>
    <row r="16" spans="1:11" ht="15.75">
      <c r="A16" s="46"/>
      <c r="B16" s="45"/>
      <c r="C16" s="129"/>
      <c r="D16" s="371"/>
      <c r="E16" s="372"/>
      <c r="F16" s="372"/>
      <c r="G16" s="372"/>
      <c r="H16" s="500"/>
      <c r="I16" s="501"/>
      <c r="J16" s="501"/>
      <c r="K16" s="502"/>
    </row>
    <row r="17" spans="1:11" ht="15.75">
      <c r="A17" s="46"/>
      <c r="B17" s="45"/>
      <c r="C17" s="354"/>
      <c r="D17" s="373"/>
      <c r="E17" s="374"/>
      <c r="F17" s="374"/>
      <c r="G17" s="374"/>
      <c r="H17" s="500"/>
      <c r="I17" s="501"/>
      <c r="J17" s="501"/>
      <c r="K17" s="502"/>
    </row>
    <row r="18" spans="1:11" ht="15.75">
      <c r="A18" s="137"/>
      <c r="B18" s="139" t="s">
        <v>54</v>
      </c>
      <c r="C18" s="357">
        <f>SUM(C9:C17)</f>
        <v>22000000</v>
      </c>
      <c r="D18" s="357">
        <f>SUM(D9:D17)</f>
        <v>11000000</v>
      </c>
      <c r="E18" s="357">
        <f t="shared" ref="E18:G18" si="2">SUM(E9:E17)</f>
        <v>0</v>
      </c>
      <c r="F18" s="357">
        <f t="shared" si="2"/>
        <v>0</v>
      </c>
      <c r="G18" s="357">
        <f t="shared" si="2"/>
        <v>11000000</v>
      </c>
      <c r="H18" s="22"/>
      <c r="I18" s="22"/>
      <c r="J18" s="70"/>
      <c r="K18" s="143"/>
    </row>
    <row r="19" spans="1:11" ht="15.75">
      <c r="A19" s="137"/>
      <c r="B19" s="375"/>
      <c r="C19" s="376"/>
      <c r="D19" s="377">
        <f>D18-C18</f>
        <v>-11000000</v>
      </c>
      <c r="E19" s="378"/>
      <c r="F19" s="378"/>
      <c r="G19" s="378"/>
      <c r="H19" s="376"/>
      <c r="I19" s="137"/>
      <c r="J19" s="137"/>
      <c r="K19" s="137"/>
    </row>
    <row r="20" spans="1:11">
      <c r="A20" s="137"/>
      <c r="B20" s="379"/>
      <c r="C20" s="377"/>
      <c r="D20" s="377">
        <f>11000000-D18</f>
        <v>0</v>
      </c>
      <c r="E20" s="380"/>
      <c r="F20" s="380"/>
      <c r="G20" s="380"/>
      <c r="H20" s="338"/>
      <c r="I20" s="137"/>
      <c r="J20" s="137"/>
      <c r="K20" s="137"/>
    </row>
  </sheetData>
  <mergeCells count="14">
    <mergeCell ref="H9:K9"/>
    <mergeCell ref="C1:D1"/>
    <mergeCell ref="C2:D2"/>
    <mergeCell ref="C3:D3"/>
    <mergeCell ref="B5:K7"/>
    <mergeCell ref="H8:K8"/>
    <mergeCell ref="H16:K16"/>
    <mergeCell ref="H17:K17"/>
    <mergeCell ref="H10:K10"/>
    <mergeCell ref="H11:K11"/>
    <mergeCell ref="H12:K12"/>
    <mergeCell ref="H13:K13"/>
    <mergeCell ref="H14:K14"/>
    <mergeCell ref="H15:K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topLeftCell="A100" workbookViewId="0">
      <selection activeCell="F102" sqref="F102"/>
    </sheetView>
  </sheetViews>
  <sheetFormatPr defaultRowHeight="15"/>
  <cols>
    <col min="2" max="2" width="9.85546875" customWidth="1"/>
    <col min="3" max="3" width="17.42578125" customWidth="1"/>
    <col min="4" max="4" width="35.85546875" customWidth="1"/>
    <col min="5" max="5" width="12.140625" customWidth="1"/>
    <col min="6" max="6" width="18.140625" customWidth="1"/>
    <col min="7" max="7" width="17.7109375" customWidth="1"/>
    <col min="8" max="8" width="13.85546875" customWidth="1"/>
    <col min="9" max="9" width="15" customWidth="1"/>
    <col min="10" max="10" width="14.7109375" customWidth="1"/>
    <col min="11" max="11" width="16.5703125" customWidth="1"/>
    <col min="12" max="12" width="15" customWidth="1"/>
    <col min="13" max="13" width="17.5703125" customWidth="1"/>
  </cols>
  <sheetData>
    <row r="1" spans="1:14" ht="31.5">
      <c r="A1" s="260"/>
      <c r="B1" s="261" t="s">
        <v>17</v>
      </c>
      <c r="C1" s="513" t="s">
        <v>491</v>
      </c>
      <c r="D1" s="514"/>
      <c r="E1" s="262"/>
      <c r="F1" s="263"/>
      <c r="G1" s="260"/>
      <c r="H1" s="264"/>
      <c r="I1" s="265"/>
      <c r="J1" s="266"/>
      <c r="K1" s="260"/>
      <c r="L1" s="260"/>
      <c r="M1" s="260"/>
      <c r="N1" s="260"/>
    </row>
    <row r="2" spans="1:14" ht="15.75">
      <c r="A2" s="260"/>
      <c r="B2" s="261" t="s">
        <v>19</v>
      </c>
      <c r="C2" s="515">
        <v>42992</v>
      </c>
      <c r="D2" s="516"/>
      <c r="E2" s="267"/>
      <c r="F2" s="263"/>
      <c r="G2" s="268"/>
      <c r="H2" s="269"/>
      <c r="I2" s="265"/>
      <c r="J2" s="270"/>
      <c r="K2" s="260"/>
      <c r="L2" s="260"/>
      <c r="M2" s="25">
        <v>42992</v>
      </c>
      <c r="N2" s="127"/>
    </row>
    <row r="3" spans="1:14" ht="31.5">
      <c r="A3" s="260"/>
      <c r="B3" s="261" t="s">
        <v>20</v>
      </c>
      <c r="C3" s="517" t="s">
        <v>492</v>
      </c>
      <c r="D3" s="518"/>
      <c r="E3" s="271"/>
      <c r="F3" s="272"/>
      <c r="G3" s="260"/>
      <c r="H3" s="264"/>
      <c r="I3" s="273"/>
      <c r="J3" s="266"/>
      <c r="K3" s="260"/>
      <c r="L3" s="260"/>
      <c r="M3" s="260"/>
      <c r="N3" s="260"/>
    </row>
    <row r="4" spans="1:14" ht="16.5" thickBot="1">
      <c r="A4" s="260"/>
      <c r="B4" s="274"/>
      <c r="C4" s="275"/>
      <c r="D4" s="276"/>
      <c r="E4" s="277"/>
      <c r="F4" s="278"/>
      <c r="G4" s="279"/>
      <c r="H4" s="264"/>
      <c r="I4" s="280"/>
      <c r="J4" s="281"/>
      <c r="K4" s="260"/>
      <c r="L4" s="260"/>
      <c r="M4" s="260"/>
      <c r="N4" s="260"/>
    </row>
    <row r="5" spans="1:14" ht="33" customHeight="1">
      <c r="A5" s="519" t="s">
        <v>57</v>
      </c>
      <c r="B5" s="522" t="s">
        <v>22</v>
      </c>
      <c r="C5" s="522" t="s">
        <v>23</v>
      </c>
      <c r="D5" s="522" t="s">
        <v>24</v>
      </c>
      <c r="E5" s="522" t="s">
        <v>25</v>
      </c>
      <c r="F5" s="528" t="s">
        <v>15</v>
      </c>
      <c r="G5" s="522" t="s">
        <v>58</v>
      </c>
      <c r="H5" s="531" t="s">
        <v>26</v>
      </c>
      <c r="I5" s="534" t="s">
        <v>27</v>
      </c>
      <c r="J5" s="522" t="s">
        <v>28</v>
      </c>
      <c r="K5" s="522" t="s">
        <v>13</v>
      </c>
      <c r="L5" s="522" t="s">
        <v>11</v>
      </c>
      <c r="M5" s="522" t="s">
        <v>9</v>
      </c>
      <c r="N5" s="525" t="s">
        <v>31</v>
      </c>
    </row>
    <row r="6" spans="1:14" ht="33" customHeight="1">
      <c r="A6" s="520"/>
      <c r="B6" s="523"/>
      <c r="C6" s="523"/>
      <c r="D6" s="523"/>
      <c r="E6" s="523"/>
      <c r="F6" s="529"/>
      <c r="G6" s="523"/>
      <c r="H6" s="532"/>
      <c r="I6" s="535"/>
      <c r="J6" s="523"/>
      <c r="K6" s="523"/>
      <c r="L6" s="523"/>
      <c r="M6" s="523"/>
      <c r="N6" s="526"/>
    </row>
    <row r="7" spans="1:14" ht="33" customHeight="1" thickBot="1">
      <c r="A7" s="521"/>
      <c r="B7" s="524"/>
      <c r="C7" s="524"/>
      <c r="D7" s="524"/>
      <c r="E7" s="524"/>
      <c r="F7" s="530"/>
      <c r="G7" s="524"/>
      <c r="H7" s="533"/>
      <c r="I7" s="536"/>
      <c r="J7" s="524"/>
      <c r="K7" s="524"/>
      <c r="L7" s="524"/>
      <c r="M7" s="524"/>
      <c r="N7" s="527"/>
    </row>
    <row r="8" spans="1:14" s="29" customFormat="1" ht="135">
      <c r="A8" s="282">
        <v>1</v>
      </c>
      <c r="B8" s="283" t="s">
        <v>493</v>
      </c>
      <c r="C8" s="284" t="s">
        <v>494</v>
      </c>
      <c r="D8" s="284" t="s">
        <v>495</v>
      </c>
      <c r="E8" s="285" t="s">
        <v>496</v>
      </c>
      <c r="F8" s="286">
        <v>1200000</v>
      </c>
      <c r="G8" s="287">
        <f t="shared" ref="G8:G71" si="0">F8</f>
        <v>1200000</v>
      </c>
      <c r="H8" s="288">
        <v>43282</v>
      </c>
      <c r="I8" s="289">
        <v>1</v>
      </c>
      <c r="J8" s="290">
        <v>0.3</v>
      </c>
      <c r="K8" s="291">
        <v>0</v>
      </c>
      <c r="L8" s="291">
        <v>0</v>
      </c>
      <c r="M8" s="291">
        <f t="shared" ref="M8:M71" si="1">F8</f>
        <v>1200000</v>
      </c>
      <c r="N8" s="292"/>
    </row>
    <row r="9" spans="1:14" s="29" customFormat="1" ht="150">
      <c r="A9" s="293">
        <v>2</v>
      </c>
      <c r="B9" s="294" t="s">
        <v>497</v>
      </c>
      <c r="C9" s="295" t="s">
        <v>498</v>
      </c>
      <c r="D9" s="295" t="s">
        <v>499</v>
      </c>
      <c r="E9" s="296" t="s">
        <v>496</v>
      </c>
      <c r="F9" s="297">
        <v>35000</v>
      </c>
      <c r="G9" s="298">
        <f t="shared" si="0"/>
        <v>35000</v>
      </c>
      <c r="H9" s="299">
        <v>43580.708333333299</v>
      </c>
      <c r="I9" s="300">
        <v>0.6</v>
      </c>
      <c r="J9" s="301">
        <v>0</v>
      </c>
      <c r="K9" s="302">
        <v>0</v>
      </c>
      <c r="L9" s="302">
        <v>0</v>
      </c>
      <c r="M9" s="302">
        <f t="shared" si="1"/>
        <v>35000</v>
      </c>
      <c r="N9" s="303"/>
    </row>
    <row r="10" spans="1:14" s="29" customFormat="1" ht="135.75">
      <c r="A10" s="293">
        <v>3</v>
      </c>
      <c r="B10" s="294" t="s">
        <v>500</v>
      </c>
      <c r="C10" s="295" t="s">
        <v>501</v>
      </c>
      <c r="D10" s="295" t="s">
        <v>502</v>
      </c>
      <c r="E10" s="296" t="s">
        <v>496</v>
      </c>
      <c r="F10" s="297">
        <v>71904.622499999998</v>
      </c>
      <c r="G10" s="298">
        <f t="shared" si="0"/>
        <v>71904.622499999998</v>
      </c>
      <c r="H10" s="299">
        <v>43944.708333333299</v>
      </c>
      <c r="I10" s="300">
        <v>0.6</v>
      </c>
      <c r="J10" s="301">
        <v>0</v>
      </c>
      <c r="K10" s="302">
        <v>0</v>
      </c>
      <c r="L10" s="302">
        <v>0</v>
      </c>
      <c r="M10" s="302">
        <f t="shared" si="1"/>
        <v>71904.622499999998</v>
      </c>
      <c r="N10" s="303"/>
    </row>
    <row r="11" spans="1:14" s="29" customFormat="1" ht="150">
      <c r="A11" s="293">
        <v>4</v>
      </c>
      <c r="B11" s="294" t="s">
        <v>503</v>
      </c>
      <c r="C11" s="295" t="s">
        <v>504</v>
      </c>
      <c r="D11" s="295" t="s">
        <v>505</v>
      </c>
      <c r="E11" s="296" t="s">
        <v>496</v>
      </c>
      <c r="F11" s="297">
        <v>50000</v>
      </c>
      <c r="G11" s="298">
        <f t="shared" si="0"/>
        <v>50000</v>
      </c>
      <c r="H11" s="299">
        <v>43572.708333333299</v>
      </c>
      <c r="I11" s="300">
        <v>0.6</v>
      </c>
      <c r="J11" s="301">
        <v>0</v>
      </c>
      <c r="K11" s="302">
        <v>0</v>
      </c>
      <c r="L11" s="302">
        <v>0</v>
      </c>
      <c r="M11" s="302">
        <f t="shared" si="1"/>
        <v>50000</v>
      </c>
      <c r="N11" s="303"/>
    </row>
    <row r="12" spans="1:14" s="29" customFormat="1" ht="135">
      <c r="A12" s="293">
        <v>5</v>
      </c>
      <c r="B12" s="294" t="s">
        <v>506</v>
      </c>
      <c r="C12" s="295" t="s">
        <v>507</v>
      </c>
      <c r="D12" s="304" t="s">
        <v>508</v>
      </c>
      <c r="E12" s="296" t="s">
        <v>496</v>
      </c>
      <c r="F12" s="297">
        <v>57245.737499999996</v>
      </c>
      <c r="G12" s="298">
        <f t="shared" si="0"/>
        <v>57245.737499999996</v>
      </c>
      <c r="H12" s="299">
        <v>43494.708333333299</v>
      </c>
      <c r="I12" s="300">
        <v>1</v>
      </c>
      <c r="J12" s="301">
        <v>0</v>
      </c>
      <c r="K12" s="302">
        <v>0</v>
      </c>
      <c r="L12" s="302">
        <v>0</v>
      </c>
      <c r="M12" s="302">
        <f t="shared" si="1"/>
        <v>57245.737499999996</v>
      </c>
      <c r="N12" s="305"/>
    </row>
    <row r="13" spans="1:14" s="29" customFormat="1" ht="165">
      <c r="A13" s="293">
        <v>6</v>
      </c>
      <c r="B13" s="294" t="s">
        <v>509</v>
      </c>
      <c r="C13" s="295" t="s">
        <v>510</v>
      </c>
      <c r="D13" s="295" t="s">
        <v>511</v>
      </c>
      <c r="E13" s="296" t="s">
        <v>496</v>
      </c>
      <c r="F13" s="297">
        <v>809623.8885</v>
      </c>
      <c r="G13" s="298">
        <f t="shared" si="0"/>
        <v>809623.8885</v>
      </c>
      <c r="H13" s="299">
        <v>43621.708333333299</v>
      </c>
      <c r="I13" s="300">
        <v>1</v>
      </c>
      <c r="J13" s="301">
        <v>0</v>
      </c>
      <c r="K13" s="302">
        <v>0</v>
      </c>
      <c r="L13" s="302">
        <v>0</v>
      </c>
      <c r="M13" s="302">
        <f t="shared" si="1"/>
        <v>809623.8885</v>
      </c>
      <c r="N13" s="303"/>
    </row>
    <row r="14" spans="1:14" s="29" customFormat="1" ht="135">
      <c r="A14" s="293">
        <v>7</v>
      </c>
      <c r="B14" s="294" t="s">
        <v>512</v>
      </c>
      <c r="C14" s="295" t="s">
        <v>513</v>
      </c>
      <c r="D14" s="295" t="s">
        <v>514</v>
      </c>
      <c r="E14" s="296" t="s">
        <v>496</v>
      </c>
      <c r="F14" s="297">
        <v>180000</v>
      </c>
      <c r="G14" s="298">
        <f t="shared" si="0"/>
        <v>180000</v>
      </c>
      <c r="H14" s="299">
        <v>43557.708333333299</v>
      </c>
      <c r="I14" s="300">
        <v>1</v>
      </c>
      <c r="J14" s="301">
        <v>0.08</v>
      </c>
      <c r="K14" s="302">
        <v>0</v>
      </c>
      <c r="L14" s="302">
        <v>0</v>
      </c>
      <c r="M14" s="302">
        <f t="shared" si="1"/>
        <v>180000</v>
      </c>
      <c r="N14" s="303"/>
    </row>
    <row r="15" spans="1:14" s="29" customFormat="1" ht="135">
      <c r="A15" s="293">
        <v>8</v>
      </c>
      <c r="B15" s="294" t="s">
        <v>515</v>
      </c>
      <c r="C15" s="295" t="s">
        <v>516</v>
      </c>
      <c r="D15" s="304" t="s">
        <v>517</v>
      </c>
      <c r="E15" s="296" t="s">
        <v>496</v>
      </c>
      <c r="F15" s="297">
        <v>23410.128000000001</v>
      </c>
      <c r="G15" s="298">
        <f t="shared" si="0"/>
        <v>23410.128000000001</v>
      </c>
      <c r="H15" s="299">
        <v>44384.5</v>
      </c>
      <c r="I15" s="300">
        <v>0.3</v>
      </c>
      <c r="J15" s="301">
        <v>0</v>
      </c>
      <c r="K15" s="302">
        <v>0</v>
      </c>
      <c r="L15" s="302">
        <v>0</v>
      </c>
      <c r="M15" s="302">
        <f t="shared" si="1"/>
        <v>23410.128000000001</v>
      </c>
      <c r="N15" s="303"/>
    </row>
    <row r="16" spans="1:14" s="29" customFormat="1" ht="120">
      <c r="A16" s="293">
        <v>9</v>
      </c>
      <c r="B16" s="294" t="s">
        <v>518</v>
      </c>
      <c r="C16" s="295" t="s">
        <v>519</v>
      </c>
      <c r="D16" s="295" t="s">
        <v>520</v>
      </c>
      <c r="E16" s="296" t="s">
        <v>496</v>
      </c>
      <c r="F16" s="297">
        <v>25803.383999999998</v>
      </c>
      <c r="G16" s="298">
        <f t="shared" si="0"/>
        <v>25803.383999999998</v>
      </c>
      <c r="H16" s="299">
        <v>43865.708333333299</v>
      </c>
      <c r="I16" s="300">
        <v>0.3</v>
      </c>
      <c r="J16" s="301">
        <v>0</v>
      </c>
      <c r="K16" s="302">
        <v>0</v>
      </c>
      <c r="L16" s="302">
        <v>0</v>
      </c>
      <c r="M16" s="302">
        <f t="shared" si="1"/>
        <v>25803.383999999998</v>
      </c>
      <c r="N16" s="303"/>
    </row>
    <row r="17" spans="1:14" s="29" customFormat="1" ht="105">
      <c r="A17" s="293">
        <v>10</v>
      </c>
      <c r="B17" s="294" t="s">
        <v>521</v>
      </c>
      <c r="C17" s="295" t="s">
        <v>522</v>
      </c>
      <c r="D17" s="295" t="s">
        <v>523</v>
      </c>
      <c r="E17" s="296" t="s">
        <v>496</v>
      </c>
      <c r="F17" s="297">
        <v>500000</v>
      </c>
      <c r="G17" s="298">
        <f t="shared" si="0"/>
        <v>500000</v>
      </c>
      <c r="H17" s="299">
        <v>43836.708333333299</v>
      </c>
      <c r="I17" s="300">
        <v>0.3</v>
      </c>
      <c r="J17" s="301">
        <v>0</v>
      </c>
      <c r="K17" s="302">
        <v>0</v>
      </c>
      <c r="L17" s="302">
        <v>0</v>
      </c>
      <c r="M17" s="302">
        <f t="shared" si="1"/>
        <v>500000</v>
      </c>
      <c r="N17" s="303"/>
    </row>
    <row r="18" spans="1:14" s="29" customFormat="1" ht="120">
      <c r="A18" s="293">
        <v>11</v>
      </c>
      <c r="B18" s="294" t="s">
        <v>524</v>
      </c>
      <c r="C18" s="295" t="s">
        <v>525</v>
      </c>
      <c r="D18" s="295" t="s">
        <v>526</v>
      </c>
      <c r="E18" s="296" t="s">
        <v>496</v>
      </c>
      <c r="F18" s="297">
        <v>75782.466</v>
      </c>
      <c r="G18" s="298">
        <f t="shared" si="0"/>
        <v>75782.466</v>
      </c>
      <c r="H18" s="299">
        <v>43378.708333333299</v>
      </c>
      <c r="I18" s="300">
        <v>1</v>
      </c>
      <c r="J18" s="301">
        <v>0.25</v>
      </c>
      <c r="K18" s="302">
        <v>0</v>
      </c>
      <c r="L18" s="302">
        <v>0</v>
      </c>
      <c r="M18" s="302">
        <f t="shared" si="1"/>
        <v>75782.466</v>
      </c>
      <c r="N18" s="303"/>
    </row>
    <row r="19" spans="1:14" s="29" customFormat="1" ht="195">
      <c r="A19" s="293">
        <v>12</v>
      </c>
      <c r="B19" s="294" t="s">
        <v>527</v>
      </c>
      <c r="C19" s="295" t="s">
        <v>528</v>
      </c>
      <c r="D19" s="295" t="s">
        <v>529</v>
      </c>
      <c r="E19" s="296" t="s">
        <v>496</v>
      </c>
      <c r="F19" s="297">
        <v>500891.08500000002</v>
      </c>
      <c r="G19" s="298">
        <f t="shared" si="0"/>
        <v>500891.08500000002</v>
      </c>
      <c r="H19" s="299">
        <v>43585.708333333299</v>
      </c>
      <c r="I19" s="300">
        <v>1</v>
      </c>
      <c r="J19" s="301">
        <v>0</v>
      </c>
      <c r="K19" s="302">
        <v>0</v>
      </c>
      <c r="L19" s="302">
        <v>0</v>
      </c>
      <c r="M19" s="302">
        <f t="shared" si="1"/>
        <v>500891.08500000002</v>
      </c>
      <c r="N19" s="303"/>
    </row>
    <row r="20" spans="1:14" s="29" customFormat="1" ht="105">
      <c r="A20" s="293">
        <v>13</v>
      </c>
      <c r="B20" s="294" t="s">
        <v>530</v>
      </c>
      <c r="C20" s="295" t="s">
        <v>531</v>
      </c>
      <c r="D20" s="295" t="s">
        <v>532</v>
      </c>
      <c r="E20" s="296" t="s">
        <v>496</v>
      </c>
      <c r="F20" s="297">
        <v>126919.24800000001</v>
      </c>
      <c r="G20" s="298">
        <f t="shared" si="0"/>
        <v>126919.24800000001</v>
      </c>
      <c r="H20" s="299">
        <v>44006.708333333299</v>
      </c>
      <c r="I20" s="300">
        <v>1</v>
      </c>
      <c r="J20" s="301">
        <v>0</v>
      </c>
      <c r="K20" s="302">
        <v>0</v>
      </c>
      <c r="L20" s="302">
        <v>0</v>
      </c>
      <c r="M20" s="302">
        <f t="shared" si="1"/>
        <v>126919.24800000001</v>
      </c>
      <c r="N20" s="303"/>
    </row>
    <row r="21" spans="1:14" s="29" customFormat="1" ht="105">
      <c r="A21" s="293">
        <v>14</v>
      </c>
      <c r="B21" s="294" t="s">
        <v>533</v>
      </c>
      <c r="C21" s="295" t="s">
        <v>534</v>
      </c>
      <c r="D21" s="295" t="s">
        <v>535</v>
      </c>
      <c r="E21" s="296" t="s">
        <v>496</v>
      </c>
      <c r="F21" s="297">
        <v>65290.767</v>
      </c>
      <c r="G21" s="298">
        <f t="shared" si="0"/>
        <v>65290.767</v>
      </c>
      <c r="H21" s="299">
        <v>44006.5</v>
      </c>
      <c r="I21" s="300">
        <v>1</v>
      </c>
      <c r="J21" s="301">
        <v>0</v>
      </c>
      <c r="K21" s="302">
        <v>0</v>
      </c>
      <c r="L21" s="302">
        <v>0</v>
      </c>
      <c r="M21" s="302">
        <f t="shared" si="1"/>
        <v>65290.767</v>
      </c>
      <c r="N21" s="303"/>
    </row>
    <row r="22" spans="1:14" s="29" customFormat="1" ht="120">
      <c r="A22" s="293">
        <v>15</v>
      </c>
      <c r="B22" s="294" t="s">
        <v>536</v>
      </c>
      <c r="C22" s="295" t="s">
        <v>537</v>
      </c>
      <c r="D22" s="306" t="s">
        <v>538</v>
      </c>
      <c r="E22" s="296" t="s">
        <v>496</v>
      </c>
      <c r="F22" s="297">
        <v>224828.69850000009</v>
      </c>
      <c r="G22" s="298">
        <f t="shared" si="0"/>
        <v>224828.69850000009</v>
      </c>
      <c r="H22" s="299">
        <v>43056</v>
      </c>
      <c r="I22" s="300">
        <v>1</v>
      </c>
      <c r="J22" s="301">
        <v>0.65</v>
      </c>
      <c r="K22" s="302">
        <v>0</v>
      </c>
      <c r="L22" s="302">
        <v>0</v>
      </c>
      <c r="M22" s="302">
        <f t="shared" si="1"/>
        <v>224828.69850000009</v>
      </c>
      <c r="N22" s="303"/>
    </row>
    <row r="23" spans="1:14" s="29" customFormat="1" ht="90">
      <c r="A23" s="293">
        <v>16</v>
      </c>
      <c r="B23" s="294" t="s">
        <v>539</v>
      </c>
      <c r="C23" s="295" t="s">
        <v>540</v>
      </c>
      <c r="D23" s="295" t="s">
        <v>541</v>
      </c>
      <c r="E23" s="296" t="s">
        <v>496</v>
      </c>
      <c r="F23" s="297">
        <v>93705.800999999992</v>
      </c>
      <c r="G23" s="298">
        <f t="shared" si="0"/>
        <v>93705.800999999992</v>
      </c>
      <c r="H23" s="299">
        <v>43158.5</v>
      </c>
      <c r="I23" s="300">
        <v>1</v>
      </c>
      <c r="J23" s="301">
        <v>0.42</v>
      </c>
      <c r="K23" s="302">
        <v>0</v>
      </c>
      <c r="L23" s="302">
        <v>0</v>
      </c>
      <c r="M23" s="302">
        <f t="shared" si="1"/>
        <v>93705.800999999992</v>
      </c>
      <c r="N23" s="303"/>
    </row>
    <row r="24" spans="1:14" s="29" customFormat="1" ht="120">
      <c r="A24" s="293">
        <v>17</v>
      </c>
      <c r="B24" s="294" t="s">
        <v>542</v>
      </c>
      <c r="C24" s="295" t="s">
        <v>543</v>
      </c>
      <c r="D24" s="295" t="s">
        <v>544</v>
      </c>
      <c r="E24" s="296" t="s">
        <v>496</v>
      </c>
      <c r="F24" s="297">
        <v>50000</v>
      </c>
      <c r="G24" s="298">
        <f t="shared" si="0"/>
        <v>50000</v>
      </c>
      <c r="H24" s="299">
        <v>43284.708333333299</v>
      </c>
      <c r="I24" s="300">
        <v>1</v>
      </c>
      <c r="J24" s="301">
        <v>0.24</v>
      </c>
      <c r="K24" s="302">
        <v>0</v>
      </c>
      <c r="L24" s="302">
        <v>0</v>
      </c>
      <c r="M24" s="302">
        <f t="shared" si="1"/>
        <v>50000</v>
      </c>
      <c r="N24" s="303"/>
    </row>
    <row r="25" spans="1:14" s="29" customFormat="1" ht="150">
      <c r="A25" s="293">
        <v>18</v>
      </c>
      <c r="B25" s="294" t="s">
        <v>545</v>
      </c>
      <c r="C25" s="295" t="s">
        <v>546</v>
      </c>
      <c r="D25" s="295" t="s">
        <v>547</v>
      </c>
      <c r="E25" s="296" t="s">
        <v>496</v>
      </c>
      <c r="F25" s="297">
        <v>60000</v>
      </c>
      <c r="G25" s="298">
        <f t="shared" si="0"/>
        <v>60000</v>
      </c>
      <c r="H25" s="299">
        <v>43957.708333333299</v>
      </c>
      <c r="I25" s="300">
        <v>0.1</v>
      </c>
      <c r="J25" s="301">
        <v>0</v>
      </c>
      <c r="K25" s="302">
        <v>0</v>
      </c>
      <c r="L25" s="302">
        <v>0</v>
      </c>
      <c r="M25" s="302">
        <f t="shared" si="1"/>
        <v>60000</v>
      </c>
      <c r="N25" s="303"/>
    </row>
    <row r="26" spans="1:14" s="29" customFormat="1" ht="120">
      <c r="A26" s="293">
        <v>19</v>
      </c>
      <c r="B26" s="294" t="s">
        <v>548</v>
      </c>
      <c r="C26" s="295" t="s">
        <v>549</v>
      </c>
      <c r="D26" s="295" t="s">
        <v>550</v>
      </c>
      <c r="E26" s="296" t="s">
        <v>496</v>
      </c>
      <c r="F26" s="297">
        <v>25000</v>
      </c>
      <c r="G26" s="298">
        <f t="shared" si="0"/>
        <v>25000</v>
      </c>
      <c r="H26" s="299">
        <v>43788.708333333299</v>
      </c>
      <c r="I26" s="300">
        <v>0.3</v>
      </c>
      <c r="J26" s="301">
        <v>0</v>
      </c>
      <c r="K26" s="302">
        <v>0</v>
      </c>
      <c r="L26" s="302">
        <v>0</v>
      </c>
      <c r="M26" s="302">
        <f t="shared" si="1"/>
        <v>25000</v>
      </c>
      <c r="N26" s="303"/>
    </row>
    <row r="27" spans="1:14" s="29" customFormat="1" ht="135">
      <c r="A27" s="293">
        <v>20</v>
      </c>
      <c r="B27" s="294" t="s">
        <v>551</v>
      </c>
      <c r="C27" s="295" t="s">
        <v>552</v>
      </c>
      <c r="D27" s="304" t="s">
        <v>553</v>
      </c>
      <c r="E27" s="296" t="s">
        <v>496</v>
      </c>
      <c r="F27" s="297">
        <v>153638.97149999999</v>
      </c>
      <c r="G27" s="298">
        <f t="shared" si="0"/>
        <v>153638.97149999999</v>
      </c>
      <c r="H27" s="299">
        <v>43761.708333333299</v>
      </c>
      <c r="I27" s="300">
        <v>0.6</v>
      </c>
      <c r="J27" s="301">
        <v>0</v>
      </c>
      <c r="K27" s="302">
        <v>0</v>
      </c>
      <c r="L27" s="302">
        <v>0</v>
      </c>
      <c r="M27" s="302">
        <f t="shared" si="1"/>
        <v>153638.97149999999</v>
      </c>
      <c r="N27" s="303"/>
    </row>
    <row r="28" spans="1:14" s="29" customFormat="1" ht="120">
      <c r="A28" s="293">
        <v>21</v>
      </c>
      <c r="B28" s="294" t="s">
        <v>554</v>
      </c>
      <c r="C28" s="295" t="s">
        <v>555</v>
      </c>
      <c r="D28" s="295" t="s">
        <v>556</v>
      </c>
      <c r="E28" s="296" t="s">
        <v>496</v>
      </c>
      <c r="F28" s="297">
        <v>73704.406499999997</v>
      </c>
      <c r="G28" s="298">
        <f t="shared" si="0"/>
        <v>73704.406499999997</v>
      </c>
      <c r="H28" s="299">
        <v>43307.708333333299</v>
      </c>
      <c r="I28" s="300">
        <v>1</v>
      </c>
      <c r="J28" s="301">
        <v>0</v>
      </c>
      <c r="K28" s="302">
        <v>0</v>
      </c>
      <c r="L28" s="302">
        <v>0</v>
      </c>
      <c r="M28" s="302">
        <f t="shared" si="1"/>
        <v>73704.406499999997</v>
      </c>
      <c r="N28" s="303"/>
    </row>
    <row r="29" spans="1:14" s="29" customFormat="1" ht="165">
      <c r="A29" s="293">
        <v>22</v>
      </c>
      <c r="B29" s="294" t="s">
        <v>557</v>
      </c>
      <c r="C29" s="295" t="s">
        <v>558</v>
      </c>
      <c r="D29" s="295" t="s">
        <v>559</v>
      </c>
      <c r="E29" s="296" t="s">
        <v>496</v>
      </c>
      <c r="F29" s="297">
        <v>25000</v>
      </c>
      <c r="G29" s="298">
        <f t="shared" si="0"/>
        <v>25000</v>
      </c>
      <c r="H29" s="299">
        <v>43622.708333333299</v>
      </c>
      <c r="I29" s="300">
        <v>0.6</v>
      </c>
      <c r="J29" s="301">
        <v>0</v>
      </c>
      <c r="K29" s="302">
        <v>0</v>
      </c>
      <c r="L29" s="302">
        <v>0</v>
      </c>
      <c r="M29" s="302">
        <f t="shared" si="1"/>
        <v>25000</v>
      </c>
      <c r="N29" s="303"/>
    </row>
    <row r="30" spans="1:14" s="29" customFormat="1" ht="135">
      <c r="A30" s="293">
        <v>23</v>
      </c>
      <c r="B30" s="294" t="s">
        <v>560</v>
      </c>
      <c r="C30" s="295" t="s">
        <v>561</v>
      </c>
      <c r="D30" s="295" t="s">
        <v>562</v>
      </c>
      <c r="E30" s="296" t="s">
        <v>496</v>
      </c>
      <c r="F30" s="297">
        <v>68405.426999999996</v>
      </c>
      <c r="G30" s="298">
        <f t="shared" si="0"/>
        <v>68405.426999999996</v>
      </c>
      <c r="H30" s="299">
        <v>43949.708333333299</v>
      </c>
      <c r="I30" s="300">
        <v>0.1</v>
      </c>
      <c r="J30" s="301">
        <v>0</v>
      </c>
      <c r="K30" s="302">
        <v>0</v>
      </c>
      <c r="L30" s="302">
        <v>0</v>
      </c>
      <c r="M30" s="302">
        <f t="shared" si="1"/>
        <v>68405.426999999996</v>
      </c>
      <c r="N30" s="305"/>
    </row>
    <row r="31" spans="1:14" s="29" customFormat="1" ht="135">
      <c r="A31" s="293">
        <v>24</v>
      </c>
      <c r="B31" s="294" t="s">
        <v>563</v>
      </c>
      <c r="C31" s="295" t="s">
        <v>564</v>
      </c>
      <c r="D31" s="307" t="s">
        <v>565</v>
      </c>
      <c r="E31" s="296" t="s">
        <v>496</v>
      </c>
      <c r="F31" s="297">
        <v>50000</v>
      </c>
      <c r="G31" s="298">
        <f t="shared" si="0"/>
        <v>50000</v>
      </c>
      <c r="H31" s="299">
        <v>43130</v>
      </c>
      <c r="I31" s="300">
        <v>1</v>
      </c>
      <c r="J31" s="301">
        <v>0</v>
      </c>
      <c r="K31" s="302">
        <v>0</v>
      </c>
      <c r="L31" s="302">
        <v>0</v>
      </c>
      <c r="M31" s="302">
        <f t="shared" si="1"/>
        <v>50000</v>
      </c>
      <c r="N31" s="303"/>
    </row>
    <row r="32" spans="1:14" s="29" customFormat="1" ht="90">
      <c r="A32" s="293">
        <v>25</v>
      </c>
      <c r="B32" s="294" t="s">
        <v>566</v>
      </c>
      <c r="C32" s="295" t="s">
        <v>567</v>
      </c>
      <c r="D32" s="295" t="s">
        <v>568</v>
      </c>
      <c r="E32" s="296" t="s">
        <v>496</v>
      </c>
      <c r="F32" s="297">
        <v>57765.06749999999</v>
      </c>
      <c r="G32" s="298">
        <f t="shared" si="0"/>
        <v>57765.06749999999</v>
      </c>
      <c r="H32" s="299">
        <v>43070</v>
      </c>
      <c r="I32" s="300">
        <v>1</v>
      </c>
      <c r="J32" s="301">
        <v>0.39</v>
      </c>
      <c r="K32" s="302">
        <v>0</v>
      </c>
      <c r="L32" s="302">
        <v>0</v>
      </c>
      <c r="M32" s="302">
        <f t="shared" si="1"/>
        <v>57765.06749999999</v>
      </c>
      <c r="N32" s="303"/>
    </row>
    <row r="33" spans="1:14" s="29" customFormat="1" ht="165">
      <c r="A33" s="293">
        <v>26</v>
      </c>
      <c r="B33" s="294" t="s">
        <v>569</v>
      </c>
      <c r="C33" s="295" t="s">
        <v>570</v>
      </c>
      <c r="D33" s="306" t="s">
        <v>571</v>
      </c>
      <c r="E33" s="296" t="s">
        <v>496</v>
      </c>
      <c r="F33" s="297">
        <v>325000</v>
      </c>
      <c r="G33" s="298">
        <f t="shared" si="0"/>
        <v>325000</v>
      </c>
      <c r="H33" s="299">
        <v>43097</v>
      </c>
      <c r="I33" s="300">
        <v>1</v>
      </c>
      <c r="J33" s="301">
        <v>0.65</v>
      </c>
      <c r="K33" s="302">
        <v>0</v>
      </c>
      <c r="L33" s="302">
        <v>0</v>
      </c>
      <c r="M33" s="302">
        <f t="shared" si="1"/>
        <v>325000</v>
      </c>
      <c r="N33" s="303"/>
    </row>
    <row r="34" spans="1:14" s="29" customFormat="1" ht="135">
      <c r="A34" s="293">
        <v>27</v>
      </c>
      <c r="B34" s="294" t="s">
        <v>572</v>
      </c>
      <c r="C34" s="295" t="s">
        <v>573</v>
      </c>
      <c r="D34" s="295" t="s">
        <v>574</v>
      </c>
      <c r="E34" s="296" t="s">
        <v>496</v>
      </c>
      <c r="F34" s="297">
        <v>396567.44699999999</v>
      </c>
      <c r="G34" s="298">
        <f t="shared" si="0"/>
        <v>396567.44699999999</v>
      </c>
      <c r="H34" s="299">
        <v>43438.708333333299</v>
      </c>
      <c r="I34" s="300">
        <v>1</v>
      </c>
      <c r="J34" s="301">
        <v>0</v>
      </c>
      <c r="K34" s="302">
        <v>0</v>
      </c>
      <c r="L34" s="302">
        <v>0</v>
      </c>
      <c r="M34" s="302">
        <f t="shared" si="1"/>
        <v>396567.44699999999</v>
      </c>
      <c r="N34" s="305"/>
    </row>
    <row r="35" spans="1:14" s="29" customFormat="1" ht="165">
      <c r="A35" s="293">
        <v>28</v>
      </c>
      <c r="B35" s="294" t="s">
        <v>575</v>
      </c>
      <c r="C35" s="295" t="s">
        <v>576</v>
      </c>
      <c r="D35" s="295" t="s">
        <v>577</v>
      </c>
      <c r="E35" s="296" t="s">
        <v>496</v>
      </c>
      <c r="F35" s="297">
        <v>25000</v>
      </c>
      <c r="G35" s="298">
        <f t="shared" si="0"/>
        <v>25000</v>
      </c>
      <c r="H35" s="299">
        <v>43152.708333333299</v>
      </c>
      <c r="I35" s="300">
        <v>0.6</v>
      </c>
      <c r="J35" s="301">
        <v>0</v>
      </c>
      <c r="K35" s="302">
        <v>0</v>
      </c>
      <c r="L35" s="302">
        <v>0</v>
      </c>
      <c r="M35" s="302">
        <f t="shared" si="1"/>
        <v>25000</v>
      </c>
      <c r="N35" s="303"/>
    </row>
    <row r="36" spans="1:14" s="29" customFormat="1" ht="135">
      <c r="A36" s="293">
        <v>29</v>
      </c>
      <c r="B36" s="294" t="s">
        <v>578</v>
      </c>
      <c r="C36" s="295" t="s">
        <v>579</v>
      </c>
      <c r="D36" s="295" t="s">
        <v>580</v>
      </c>
      <c r="E36" s="296" t="s">
        <v>496</v>
      </c>
      <c r="F36" s="297">
        <v>224748.54300000001</v>
      </c>
      <c r="G36" s="298">
        <f t="shared" si="0"/>
        <v>224748.54300000001</v>
      </c>
      <c r="H36" s="299">
        <v>43607.708333333299</v>
      </c>
      <c r="I36" s="300">
        <v>1</v>
      </c>
      <c r="J36" s="301">
        <v>0</v>
      </c>
      <c r="K36" s="302">
        <v>0</v>
      </c>
      <c r="L36" s="302">
        <v>0</v>
      </c>
      <c r="M36" s="302">
        <f t="shared" si="1"/>
        <v>224748.54300000001</v>
      </c>
      <c r="N36" s="303"/>
    </row>
    <row r="37" spans="1:14" s="29" customFormat="1" ht="120">
      <c r="A37" s="293">
        <v>30</v>
      </c>
      <c r="B37" s="294" t="s">
        <v>581</v>
      </c>
      <c r="C37" s="295" t="s">
        <v>582</v>
      </c>
      <c r="D37" s="295" t="s">
        <v>583</v>
      </c>
      <c r="E37" s="296" t="s">
        <v>496</v>
      </c>
      <c r="F37" s="297">
        <v>52419.699000000001</v>
      </c>
      <c r="G37" s="298">
        <f t="shared" si="0"/>
        <v>52419.699000000001</v>
      </c>
      <c r="H37" s="299">
        <v>43336.708333333299</v>
      </c>
      <c r="I37" s="300">
        <v>1</v>
      </c>
      <c r="J37" s="301">
        <v>0</v>
      </c>
      <c r="K37" s="302">
        <v>0</v>
      </c>
      <c r="L37" s="302">
        <v>0</v>
      </c>
      <c r="M37" s="302">
        <f t="shared" si="1"/>
        <v>52419.699000000001</v>
      </c>
      <c r="N37" s="303"/>
    </row>
    <row r="38" spans="1:14" s="29" customFormat="1" ht="90">
      <c r="A38" s="293">
        <v>31</v>
      </c>
      <c r="B38" s="294" t="s">
        <v>584</v>
      </c>
      <c r="C38" s="295" t="s">
        <v>585</v>
      </c>
      <c r="D38" s="295" t="s">
        <v>583</v>
      </c>
      <c r="E38" s="296" t="s">
        <v>496</v>
      </c>
      <c r="F38" s="297">
        <v>130000</v>
      </c>
      <c r="G38" s="298">
        <f t="shared" si="0"/>
        <v>130000</v>
      </c>
      <c r="H38" s="299">
        <v>43329.708333333299</v>
      </c>
      <c r="I38" s="300">
        <v>1</v>
      </c>
      <c r="J38" s="301">
        <v>0</v>
      </c>
      <c r="K38" s="302">
        <v>0</v>
      </c>
      <c r="L38" s="302">
        <v>0</v>
      </c>
      <c r="M38" s="302">
        <f t="shared" si="1"/>
        <v>130000</v>
      </c>
      <c r="N38" s="303"/>
    </row>
    <row r="39" spans="1:14" s="29" customFormat="1" ht="90">
      <c r="A39" s="293">
        <v>32</v>
      </c>
      <c r="B39" s="294" t="s">
        <v>586</v>
      </c>
      <c r="C39" s="295" t="s">
        <v>587</v>
      </c>
      <c r="D39" s="295" t="s">
        <v>583</v>
      </c>
      <c r="E39" s="296" t="s">
        <v>496</v>
      </c>
      <c r="F39" s="297">
        <v>25000</v>
      </c>
      <c r="G39" s="298">
        <f t="shared" si="0"/>
        <v>25000</v>
      </c>
      <c r="H39" s="299">
        <v>43280.708333333299</v>
      </c>
      <c r="I39" s="300">
        <v>1</v>
      </c>
      <c r="J39" s="301">
        <v>0</v>
      </c>
      <c r="K39" s="302">
        <v>0</v>
      </c>
      <c r="L39" s="302">
        <v>0</v>
      </c>
      <c r="M39" s="302">
        <f t="shared" si="1"/>
        <v>25000</v>
      </c>
      <c r="N39" s="303"/>
    </row>
    <row r="40" spans="1:14" s="29" customFormat="1" ht="180">
      <c r="A40" s="293">
        <v>33</v>
      </c>
      <c r="B40" s="294" t="s">
        <v>588</v>
      </c>
      <c r="C40" s="295" t="s">
        <v>589</v>
      </c>
      <c r="D40" s="295" t="s">
        <v>590</v>
      </c>
      <c r="E40" s="296" t="s">
        <v>496</v>
      </c>
      <c r="F40" s="297">
        <v>327367.15950000001</v>
      </c>
      <c r="G40" s="298">
        <f t="shared" si="0"/>
        <v>327367.15950000001</v>
      </c>
      <c r="H40" s="299">
        <v>43705.708333333299</v>
      </c>
      <c r="I40" s="300">
        <v>1</v>
      </c>
      <c r="J40" s="301">
        <v>0.12</v>
      </c>
      <c r="K40" s="302">
        <v>0</v>
      </c>
      <c r="L40" s="302">
        <v>0</v>
      </c>
      <c r="M40" s="302">
        <f t="shared" si="1"/>
        <v>327367.15950000001</v>
      </c>
      <c r="N40" s="303"/>
    </row>
    <row r="41" spans="1:14" s="29" customFormat="1" ht="165">
      <c r="A41" s="293">
        <v>34</v>
      </c>
      <c r="B41" s="294" t="s">
        <v>591</v>
      </c>
      <c r="C41" s="295" t="s">
        <v>592</v>
      </c>
      <c r="D41" s="295" t="s">
        <v>593</v>
      </c>
      <c r="E41" s="296" t="s">
        <v>496</v>
      </c>
      <c r="F41" s="297">
        <v>25000</v>
      </c>
      <c r="G41" s="298">
        <f t="shared" si="0"/>
        <v>25000</v>
      </c>
      <c r="H41" s="299">
        <v>44552.708333333299</v>
      </c>
      <c r="I41" s="300">
        <v>0.1</v>
      </c>
      <c r="J41" s="301">
        <v>0</v>
      </c>
      <c r="K41" s="302">
        <v>0</v>
      </c>
      <c r="L41" s="302">
        <v>0</v>
      </c>
      <c r="M41" s="302">
        <f t="shared" si="1"/>
        <v>25000</v>
      </c>
      <c r="N41" s="303"/>
    </row>
    <row r="42" spans="1:14" s="29" customFormat="1" ht="150">
      <c r="A42" s="293">
        <v>35</v>
      </c>
      <c r="B42" s="294" t="s">
        <v>594</v>
      </c>
      <c r="C42" s="295" t="s">
        <v>595</v>
      </c>
      <c r="D42" s="295" t="s">
        <v>596</v>
      </c>
      <c r="E42" s="296" t="s">
        <v>496</v>
      </c>
      <c r="F42" s="297">
        <v>25000</v>
      </c>
      <c r="G42" s="298">
        <f t="shared" si="0"/>
        <v>25000</v>
      </c>
      <c r="H42" s="299">
        <v>43449.708333333299</v>
      </c>
      <c r="I42" s="300">
        <v>0.6</v>
      </c>
      <c r="J42" s="301">
        <v>0</v>
      </c>
      <c r="K42" s="302">
        <v>0</v>
      </c>
      <c r="L42" s="302">
        <v>0</v>
      </c>
      <c r="M42" s="302">
        <f t="shared" si="1"/>
        <v>25000</v>
      </c>
      <c r="N42" s="303"/>
    </row>
    <row r="43" spans="1:14" s="29" customFormat="1" ht="135">
      <c r="A43" s="293">
        <v>36</v>
      </c>
      <c r="B43" s="294" t="s">
        <v>597</v>
      </c>
      <c r="C43" s="295" t="s">
        <v>598</v>
      </c>
      <c r="D43" s="295" t="s">
        <v>599</v>
      </c>
      <c r="E43" s="296" t="s">
        <v>496</v>
      </c>
      <c r="F43" s="297">
        <v>41338.35</v>
      </c>
      <c r="G43" s="298">
        <f t="shared" si="0"/>
        <v>41338.35</v>
      </c>
      <c r="H43" s="299">
        <v>43299.708333333299</v>
      </c>
      <c r="I43" s="300">
        <v>1</v>
      </c>
      <c r="J43" s="301">
        <v>0.28000000000000003</v>
      </c>
      <c r="K43" s="302">
        <v>0</v>
      </c>
      <c r="L43" s="302">
        <v>0</v>
      </c>
      <c r="M43" s="302">
        <f t="shared" si="1"/>
        <v>41338.35</v>
      </c>
      <c r="N43" s="303"/>
    </row>
    <row r="44" spans="1:14" s="29" customFormat="1" ht="120">
      <c r="A44" s="293">
        <v>37</v>
      </c>
      <c r="B44" s="294" t="s">
        <v>600</v>
      </c>
      <c r="C44" s="295" t="s">
        <v>601</v>
      </c>
      <c r="D44" s="295" t="s">
        <v>602</v>
      </c>
      <c r="E44" s="296" t="s">
        <v>496</v>
      </c>
      <c r="F44" s="297">
        <v>150000</v>
      </c>
      <c r="G44" s="298">
        <f t="shared" si="0"/>
        <v>150000</v>
      </c>
      <c r="H44" s="299">
        <v>43340.708333333299</v>
      </c>
      <c r="I44" s="300">
        <v>1</v>
      </c>
      <c r="J44" s="301">
        <v>0.23</v>
      </c>
      <c r="K44" s="302">
        <v>0</v>
      </c>
      <c r="L44" s="302">
        <v>0</v>
      </c>
      <c r="M44" s="302">
        <f t="shared" si="1"/>
        <v>150000</v>
      </c>
      <c r="N44" s="303"/>
    </row>
    <row r="45" spans="1:14" s="29" customFormat="1" ht="105">
      <c r="A45" s="293">
        <v>38</v>
      </c>
      <c r="B45" s="294" t="s">
        <v>603</v>
      </c>
      <c r="C45" s="295" t="s">
        <v>604</v>
      </c>
      <c r="D45" s="295" t="s">
        <v>605</v>
      </c>
      <c r="E45" s="296" t="s">
        <v>496</v>
      </c>
      <c r="F45" s="297">
        <v>49072.646999999997</v>
      </c>
      <c r="G45" s="298">
        <f t="shared" si="0"/>
        <v>49072.646999999997</v>
      </c>
      <c r="H45" s="299">
        <v>43319.708333333299</v>
      </c>
      <c r="I45" s="300">
        <v>1</v>
      </c>
      <c r="J45" s="301">
        <v>0.01</v>
      </c>
      <c r="K45" s="302">
        <v>0</v>
      </c>
      <c r="L45" s="302">
        <v>0</v>
      </c>
      <c r="M45" s="302">
        <f t="shared" si="1"/>
        <v>49072.646999999997</v>
      </c>
      <c r="N45" s="303"/>
    </row>
    <row r="46" spans="1:14" s="29" customFormat="1" ht="120">
      <c r="A46" s="293">
        <v>39</v>
      </c>
      <c r="B46" s="294" t="s">
        <v>606</v>
      </c>
      <c r="C46" s="295" t="s">
        <v>607</v>
      </c>
      <c r="D46" s="295" t="s">
        <v>608</v>
      </c>
      <c r="E46" s="296" t="s">
        <v>496</v>
      </c>
      <c r="F46" s="297">
        <v>25000</v>
      </c>
      <c r="G46" s="298">
        <f t="shared" si="0"/>
        <v>25000</v>
      </c>
      <c r="H46" s="299">
        <v>43096.708333333299</v>
      </c>
      <c r="I46" s="300">
        <v>1</v>
      </c>
      <c r="J46" s="301">
        <v>0.76</v>
      </c>
      <c r="K46" s="302">
        <v>0</v>
      </c>
      <c r="L46" s="302">
        <v>0</v>
      </c>
      <c r="M46" s="302">
        <f t="shared" si="1"/>
        <v>25000</v>
      </c>
      <c r="N46" s="303"/>
    </row>
    <row r="47" spans="1:14" s="29" customFormat="1" ht="120">
      <c r="A47" s="293">
        <v>40</v>
      </c>
      <c r="B47" s="294" t="s">
        <v>609</v>
      </c>
      <c r="C47" s="295" t="s">
        <v>610</v>
      </c>
      <c r="D47" s="295" t="s">
        <v>611</v>
      </c>
      <c r="E47" s="296" t="s">
        <v>496</v>
      </c>
      <c r="F47" s="297">
        <v>70000</v>
      </c>
      <c r="G47" s="298">
        <f t="shared" si="0"/>
        <v>70000</v>
      </c>
      <c r="H47" s="299">
        <v>43357.708333333299</v>
      </c>
      <c r="I47" s="300">
        <v>1</v>
      </c>
      <c r="J47" s="301">
        <v>0</v>
      </c>
      <c r="K47" s="302">
        <v>0</v>
      </c>
      <c r="L47" s="302">
        <v>0</v>
      </c>
      <c r="M47" s="302">
        <f t="shared" si="1"/>
        <v>70000</v>
      </c>
      <c r="N47" s="303"/>
    </row>
    <row r="48" spans="1:14" s="29" customFormat="1" ht="90">
      <c r="A48" s="293">
        <v>41</v>
      </c>
      <c r="B48" s="294" t="s">
        <v>612</v>
      </c>
      <c r="C48" s="295" t="s">
        <v>613</v>
      </c>
      <c r="D48" s="295" t="s">
        <v>614</v>
      </c>
      <c r="E48" s="296" t="s">
        <v>496</v>
      </c>
      <c r="F48" s="297">
        <v>236087.12099999998</v>
      </c>
      <c r="G48" s="298">
        <f t="shared" si="0"/>
        <v>236087.12099999998</v>
      </c>
      <c r="H48" s="299">
        <v>43207.625</v>
      </c>
      <c r="I48" s="300">
        <v>1</v>
      </c>
      <c r="J48" s="301">
        <v>0.95</v>
      </c>
      <c r="K48" s="302">
        <v>0</v>
      </c>
      <c r="L48" s="302">
        <v>0</v>
      </c>
      <c r="M48" s="302">
        <f t="shared" si="1"/>
        <v>236087.12099999998</v>
      </c>
      <c r="N48" s="303"/>
    </row>
    <row r="49" spans="1:14" s="29" customFormat="1" ht="180">
      <c r="A49" s="293">
        <v>42</v>
      </c>
      <c r="B49" s="294" t="s">
        <v>615</v>
      </c>
      <c r="C49" s="295" t="s">
        <v>616</v>
      </c>
      <c r="D49" s="295" t="s">
        <v>617</v>
      </c>
      <c r="E49" s="296" t="s">
        <v>496</v>
      </c>
      <c r="F49" s="297">
        <v>452827.51050000003</v>
      </c>
      <c r="G49" s="298">
        <f t="shared" si="0"/>
        <v>452827.51050000003</v>
      </c>
      <c r="H49" s="299">
        <v>43531.708333333299</v>
      </c>
      <c r="I49" s="300">
        <v>1</v>
      </c>
      <c r="J49" s="301">
        <v>0.08</v>
      </c>
      <c r="K49" s="302">
        <v>0</v>
      </c>
      <c r="L49" s="302">
        <v>0</v>
      </c>
      <c r="M49" s="302">
        <f t="shared" si="1"/>
        <v>452827.51050000003</v>
      </c>
      <c r="N49" s="303"/>
    </row>
    <row r="50" spans="1:14" s="29" customFormat="1" ht="135">
      <c r="A50" s="293">
        <v>43</v>
      </c>
      <c r="B50" s="294" t="s">
        <v>618</v>
      </c>
      <c r="C50" s="295" t="s">
        <v>619</v>
      </c>
      <c r="D50" s="295" t="s">
        <v>620</v>
      </c>
      <c r="E50" s="296" t="s">
        <v>496</v>
      </c>
      <c r="F50" s="297">
        <v>50000</v>
      </c>
      <c r="G50" s="298">
        <f t="shared" si="0"/>
        <v>50000</v>
      </c>
      <c r="H50" s="299">
        <v>43090.708333333299</v>
      </c>
      <c r="I50" s="300">
        <v>1</v>
      </c>
      <c r="J50" s="301">
        <v>0.98</v>
      </c>
      <c r="K50" s="302">
        <v>0</v>
      </c>
      <c r="L50" s="302">
        <v>0</v>
      </c>
      <c r="M50" s="302">
        <f t="shared" si="1"/>
        <v>50000</v>
      </c>
      <c r="N50" s="303"/>
    </row>
    <row r="51" spans="1:14" s="29" customFormat="1" ht="105">
      <c r="A51" s="293">
        <v>44</v>
      </c>
      <c r="B51" s="294" t="s">
        <v>621</v>
      </c>
      <c r="C51" s="295" t="s">
        <v>622</v>
      </c>
      <c r="D51" s="295" t="s">
        <v>623</v>
      </c>
      <c r="E51" s="296" t="s">
        <v>496</v>
      </c>
      <c r="F51" s="297">
        <v>20400</v>
      </c>
      <c r="G51" s="298">
        <f t="shared" si="0"/>
        <v>20400</v>
      </c>
      <c r="H51" s="299">
        <v>43087.708333333299</v>
      </c>
      <c r="I51" s="300">
        <v>1</v>
      </c>
      <c r="J51" s="301">
        <v>0.17</v>
      </c>
      <c r="K51" s="302">
        <v>0</v>
      </c>
      <c r="L51" s="302">
        <v>0</v>
      </c>
      <c r="M51" s="302">
        <f t="shared" si="1"/>
        <v>20400</v>
      </c>
      <c r="N51" s="303"/>
    </row>
    <row r="52" spans="1:14" s="29" customFormat="1" ht="105">
      <c r="A52" s="293">
        <v>45</v>
      </c>
      <c r="B52" s="294" t="s">
        <v>624</v>
      </c>
      <c r="C52" s="295" t="s">
        <v>625</v>
      </c>
      <c r="D52" s="295" t="s">
        <v>626</v>
      </c>
      <c r="E52" s="296" t="s">
        <v>496</v>
      </c>
      <c r="F52" s="297">
        <v>63367.237499999996</v>
      </c>
      <c r="G52" s="298">
        <f t="shared" si="0"/>
        <v>63367.237499999996</v>
      </c>
      <c r="H52" s="299">
        <v>43475.5</v>
      </c>
      <c r="I52" s="300">
        <v>1</v>
      </c>
      <c r="J52" s="301">
        <v>0.18</v>
      </c>
      <c r="K52" s="302">
        <v>0</v>
      </c>
      <c r="L52" s="302">
        <v>0</v>
      </c>
      <c r="M52" s="302">
        <f t="shared" si="1"/>
        <v>63367.237499999996</v>
      </c>
      <c r="N52" s="303"/>
    </row>
    <row r="53" spans="1:14" s="29" customFormat="1" ht="120">
      <c r="A53" s="293">
        <v>46</v>
      </c>
      <c r="B53" s="294" t="s">
        <v>627</v>
      </c>
      <c r="C53" s="295" t="s">
        <v>628</v>
      </c>
      <c r="D53" s="295" t="s">
        <v>629</v>
      </c>
      <c r="E53" s="296" t="s">
        <v>496</v>
      </c>
      <c r="F53" s="297">
        <v>97679.52</v>
      </c>
      <c r="G53" s="298">
        <f t="shared" si="0"/>
        <v>97679.52</v>
      </c>
      <c r="H53" s="299">
        <v>43327.708333333299</v>
      </c>
      <c r="I53" s="300">
        <v>1</v>
      </c>
      <c r="J53" s="301">
        <v>0.15</v>
      </c>
      <c r="K53" s="302">
        <v>0</v>
      </c>
      <c r="L53" s="302">
        <v>0</v>
      </c>
      <c r="M53" s="302">
        <f t="shared" si="1"/>
        <v>97679.52</v>
      </c>
      <c r="N53" s="303"/>
    </row>
    <row r="54" spans="1:14" s="29" customFormat="1" ht="120">
      <c r="A54" s="293">
        <v>47</v>
      </c>
      <c r="B54" s="294" t="s">
        <v>630</v>
      </c>
      <c r="C54" s="295" t="s">
        <v>631</v>
      </c>
      <c r="D54" s="295" t="s">
        <v>632</v>
      </c>
      <c r="E54" s="296" t="s">
        <v>496</v>
      </c>
      <c r="F54" s="297">
        <v>125000</v>
      </c>
      <c r="G54" s="298">
        <f t="shared" si="0"/>
        <v>125000</v>
      </c>
      <c r="H54" s="299">
        <v>43116.708333333299</v>
      </c>
      <c r="I54" s="300">
        <v>1</v>
      </c>
      <c r="J54" s="301">
        <v>0.32</v>
      </c>
      <c r="K54" s="302">
        <v>0</v>
      </c>
      <c r="L54" s="302">
        <v>0</v>
      </c>
      <c r="M54" s="302">
        <f t="shared" si="1"/>
        <v>125000</v>
      </c>
      <c r="N54" s="303"/>
    </row>
    <row r="55" spans="1:14" s="29" customFormat="1" ht="135">
      <c r="A55" s="293">
        <v>48</v>
      </c>
      <c r="B55" s="294" t="s">
        <v>633</v>
      </c>
      <c r="C55" s="295" t="s">
        <v>634</v>
      </c>
      <c r="D55" s="295" t="s">
        <v>635</v>
      </c>
      <c r="E55" s="296" t="s">
        <v>496</v>
      </c>
      <c r="F55" s="297">
        <v>317000</v>
      </c>
      <c r="G55" s="298">
        <f t="shared" si="0"/>
        <v>317000</v>
      </c>
      <c r="H55" s="299">
        <v>43398.5</v>
      </c>
      <c r="I55" s="300">
        <v>0.3</v>
      </c>
      <c r="J55" s="301">
        <v>0</v>
      </c>
      <c r="K55" s="302">
        <v>0</v>
      </c>
      <c r="L55" s="302">
        <v>0</v>
      </c>
      <c r="M55" s="302">
        <f t="shared" si="1"/>
        <v>317000</v>
      </c>
      <c r="N55" s="303"/>
    </row>
    <row r="56" spans="1:14" s="29" customFormat="1" ht="105">
      <c r="A56" s="293">
        <v>49</v>
      </c>
      <c r="B56" s="294" t="s">
        <v>636</v>
      </c>
      <c r="C56" s="295" t="s">
        <v>637</v>
      </c>
      <c r="D56" s="304" t="s">
        <v>638</v>
      </c>
      <c r="E56" s="296" t="s">
        <v>496</v>
      </c>
      <c r="F56" s="297">
        <v>68673.955499999996</v>
      </c>
      <c r="G56" s="298">
        <f t="shared" si="0"/>
        <v>68673.955499999996</v>
      </c>
      <c r="H56" s="299">
        <v>44011.5</v>
      </c>
      <c r="I56" s="300">
        <v>0.3</v>
      </c>
      <c r="J56" s="301">
        <v>0</v>
      </c>
      <c r="K56" s="302">
        <v>0</v>
      </c>
      <c r="L56" s="302">
        <v>0</v>
      </c>
      <c r="M56" s="302">
        <f t="shared" si="1"/>
        <v>68673.955499999996</v>
      </c>
      <c r="N56" s="303"/>
    </row>
    <row r="57" spans="1:14" s="29" customFormat="1" ht="150">
      <c r="A57" s="293">
        <v>50</v>
      </c>
      <c r="B57" s="294" t="s">
        <v>639</v>
      </c>
      <c r="C57" s="295" t="s">
        <v>640</v>
      </c>
      <c r="D57" s="295" t="s">
        <v>641</v>
      </c>
      <c r="E57" s="296" t="s">
        <v>496</v>
      </c>
      <c r="F57" s="297">
        <v>250000</v>
      </c>
      <c r="G57" s="298">
        <f t="shared" si="0"/>
        <v>250000</v>
      </c>
      <c r="H57" s="299">
        <v>44567.708333333299</v>
      </c>
      <c r="I57" s="300">
        <v>0.05</v>
      </c>
      <c r="J57" s="301">
        <v>0</v>
      </c>
      <c r="K57" s="302">
        <v>0</v>
      </c>
      <c r="L57" s="302">
        <v>0</v>
      </c>
      <c r="M57" s="302">
        <f t="shared" si="1"/>
        <v>250000</v>
      </c>
      <c r="N57" s="305"/>
    </row>
    <row r="58" spans="1:14" s="29" customFormat="1" ht="150">
      <c r="A58" s="293">
        <v>51</v>
      </c>
      <c r="B58" s="294" t="s">
        <v>642</v>
      </c>
      <c r="C58" s="295" t="s">
        <v>643</v>
      </c>
      <c r="D58" s="295" t="s">
        <v>644</v>
      </c>
      <c r="E58" s="296" t="s">
        <v>496</v>
      </c>
      <c r="F58" s="297">
        <v>10000</v>
      </c>
      <c r="G58" s="298">
        <f t="shared" si="0"/>
        <v>10000</v>
      </c>
      <c r="H58" s="299">
        <v>43091.708333333299</v>
      </c>
      <c r="I58" s="300">
        <v>0.6</v>
      </c>
      <c r="J58" s="301">
        <v>0</v>
      </c>
      <c r="K58" s="302">
        <v>0</v>
      </c>
      <c r="L58" s="302">
        <v>0</v>
      </c>
      <c r="M58" s="302">
        <f t="shared" si="1"/>
        <v>10000</v>
      </c>
      <c r="N58" s="303"/>
    </row>
    <row r="59" spans="1:14" s="29" customFormat="1" ht="135">
      <c r="A59" s="293">
        <v>52</v>
      </c>
      <c r="B59" s="294" t="s">
        <v>645</v>
      </c>
      <c r="C59" s="295" t="s">
        <v>646</v>
      </c>
      <c r="D59" s="295" t="s">
        <v>647</v>
      </c>
      <c r="E59" s="296" t="s">
        <v>496</v>
      </c>
      <c r="F59" s="297">
        <v>15000</v>
      </c>
      <c r="G59" s="298">
        <f t="shared" si="0"/>
        <v>15000</v>
      </c>
      <c r="H59" s="299">
        <v>43009</v>
      </c>
      <c r="I59" s="300">
        <v>1</v>
      </c>
      <c r="J59" s="301">
        <v>0.93</v>
      </c>
      <c r="K59" s="302">
        <v>0</v>
      </c>
      <c r="L59" s="302">
        <v>0</v>
      </c>
      <c r="M59" s="302">
        <f t="shared" si="1"/>
        <v>15000</v>
      </c>
      <c r="N59" s="305"/>
    </row>
    <row r="60" spans="1:14" s="29" customFormat="1" ht="135">
      <c r="A60" s="293">
        <v>53</v>
      </c>
      <c r="B60" s="294" t="s">
        <v>648</v>
      </c>
      <c r="C60" s="295" t="s">
        <v>649</v>
      </c>
      <c r="D60" s="295" t="s">
        <v>514</v>
      </c>
      <c r="E60" s="296" t="s">
        <v>496</v>
      </c>
      <c r="F60" s="297">
        <v>150000</v>
      </c>
      <c r="G60" s="298">
        <f t="shared" si="0"/>
        <v>150000</v>
      </c>
      <c r="H60" s="299">
        <v>43344</v>
      </c>
      <c r="I60" s="300">
        <v>1</v>
      </c>
      <c r="J60" s="301">
        <v>0</v>
      </c>
      <c r="K60" s="302">
        <v>0</v>
      </c>
      <c r="L60" s="302">
        <v>0</v>
      </c>
      <c r="M60" s="302">
        <f t="shared" si="1"/>
        <v>150000</v>
      </c>
      <c r="N60" s="305"/>
    </row>
    <row r="61" spans="1:14" s="29" customFormat="1" ht="135">
      <c r="A61" s="293">
        <v>54</v>
      </c>
      <c r="B61" s="294" t="s">
        <v>650</v>
      </c>
      <c r="C61" s="295" t="s">
        <v>651</v>
      </c>
      <c r="D61" s="295" t="s">
        <v>652</v>
      </c>
      <c r="E61" s="296" t="s">
        <v>496</v>
      </c>
      <c r="F61" s="297">
        <v>77399</v>
      </c>
      <c r="G61" s="298">
        <f t="shared" si="0"/>
        <v>77399</v>
      </c>
      <c r="H61" s="299">
        <v>43344</v>
      </c>
      <c r="I61" s="300">
        <v>1</v>
      </c>
      <c r="J61" s="301">
        <v>0.21</v>
      </c>
      <c r="K61" s="302">
        <v>0</v>
      </c>
      <c r="L61" s="302">
        <v>0</v>
      </c>
      <c r="M61" s="302">
        <f t="shared" si="1"/>
        <v>77399</v>
      </c>
      <c r="N61" s="305"/>
    </row>
    <row r="62" spans="1:14" s="29" customFormat="1" ht="135">
      <c r="A62" s="293">
        <v>55</v>
      </c>
      <c r="B62" s="294" t="s">
        <v>653</v>
      </c>
      <c r="C62" s="295" t="s">
        <v>654</v>
      </c>
      <c r="D62" s="295" t="s">
        <v>655</v>
      </c>
      <c r="E62" s="296" t="s">
        <v>496</v>
      </c>
      <c r="F62" s="297">
        <v>29507.25</v>
      </c>
      <c r="G62" s="298">
        <f t="shared" si="0"/>
        <v>29507.25</v>
      </c>
      <c r="H62" s="299">
        <v>43344</v>
      </c>
      <c r="I62" s="300">
        <v>0</v>
      </c>
      <c r="J62" s="301">
        <v>0</v>
      </c>
      <c r="K62" s="302">
        <v>0</v>
      </c>
      <c r="L62" s="302">
        <v>0</v>
      </c>
      <c r="M62" s="302">
        <f t="shared" si="1"/>
        <v>29507.25</v>
      </c>
      <c r="N62" s="305"/>
    </row>
    <row r="63" spans="1:14" s="29" customFormat="1" ht="105">
      <c r="A63" s="293">
        <v>56</v>
      </c>
      <c r="B63" s="294" t="s">
        <v>656</v>
      </c>
      <c r="C63" s="295" t="s">
        <v>657</v>
      </c>
      <c r="D63" s="295" t="s">
        <v>658</v>
      </c>
      <c r="E63" s="296" t="s">
        <v>496</v>
      </c>
      <c r="F63" s="297">
        <v>25000</v>
      </c>
      <c r="G63" s="298">
        <f t="shared" si="0"/>
        <v>25000</v>
      </c>
      <c r="H63" s="299">
        <v>43344</v>
      </c>
      <c r="I63" s="300">
        <v>0</v>
      </c>
      <c r="J63" s="301">
        <v>0</v>
      </c>
      <c r="K63" s="302">
        <v>0</v>
      </c>
      <c r="L63" s="302">
        <v>0</v>
      </c>
      <c r="M63" s="302">
        <f t="shared" si="1"/>
        <v>25000</v>
      </c>
      <c r="N63" s="305"/>
    </row>
    <row r="64" spans="1:14" s="29" customFormat="1" ht="120">
      <c r="A64" s="293">
        <v>57</v>
      </c>
      <c r="B64" s="294" t="s">
        <v>659</v>
      </c>
      <c r="C64" s="295" t="s">
        <v>660</v>
      </c>
      <c r="D64" s="295" t="s">
        <v>661</v>
      </c>
      <c r="E64" s="296" t="s">
        <v>496</v>
      </c>
      <c r="F64" s="297">
        <v>11625</v>
      </c>
      <c r="G64" s="298">
        <f t="shared" si="0"/>
        <v>11625</v>
      </c>
      <c r="H64" s="299">
        <v>43070</v>
      </c>
      <c r="I64" s="300">
        <v>1</v>
      </c>
      <c r="J64" s="301">
        <v>0.37</v>
      </c>
      <c r="K64" s="302">
        <v>0</v>
      </c>
      <c r="L64" s="302">
        <v>0</v>
      </c>
      <c r="M64" s="302">
        <f t="shared" si="1"/>
        <v>11625</v>
      </c>
      <c r="N64" s="305"/>
    </row>
    <row r="65" spans="1:14" s="29" customFormat="1" ht="120">
      <c r="A65" s="293">
        <v>58</v>
      </c>
      <c r="B65" s="294" t="s">
        <v>662</v>
      </c>
      <c r="C65" s="295" t="s">
        <v>663</v>
      </c>
      <c r="D65" s="295" t="s">
        <v>664</v>
      </c>
      <c r="E65" s="296" t="s">
        <v>496</v>
      </c>
      <c r="F65" s="297">
        <v>30000</v>
      </c>
      <c r="G65" s="298">
        <f t="shared" si="0"/>
        <v>30000</v>
      </c>
      <c r="H65" s="299">
        <v>43475.5</v>
      </c>
      <c r="I65" s="300">
        <v>1</v>
      </c>
      <c r="J65" s="301">
        <v>0.12</v>
      </c>
      <c r="K65" s="302">
        <v>0</v>
      </c>
      <c r="L65" s="302">
        <v>0</v>
      </c>
      <c r="M65" s="302">
        <f t="shared" si="1"/>
        <v>30000</v>
      </c>
      <c r="N65" s="305"/>
    </row>
    <row r="66" spans="1:14" s="29" customFormat="1" ht="105">
      <c r="A66" s="293">
        <v>59</v>
      </c>
      <c r="B66" s="294" t="s">
        <v>665</v>
      </c>
      <c r="C66" s="295" t="s">
        <v>666</v>
      </c>
      <c r="D66" s="295" t="s">
        <v>667</v>
      </c>
      <c r="E66" s="296" t="s">
        <v>496</v>
      </c>
      <c r="F66" s="297">
        <v>25000</v>
      </c>
      <c r="G66" s="298">
        <f t="shared" si="0"/>
        <v>25000</v>
      </c>
      <c r="H66" s="299">
        <v>43070</v>
      </c>
      <c r="I66" s="300">
        <v>1</v>
      </c>
      <c r="J66" s="301">
        <v>1</v>
      </c>
      <c r="K66" s="302">
        <v>0</v>
      </c>
      <c r="L66" s="302">
        <v>0</v>
      </c>
      <c r="M66" s="302">
        <f t="shared" si="1"/>
        <v>25000</v>
      </c>
      <c r="N66" s="305"/>
    </row>
    <row r="67" spans="1:14" s="29" customFormat="1" ht="105.75" thickBot="1">
      <c r="A67" s="308">
        <v>60</v>
      </c>
      <c r="B67" s="309" t="s">
        <v>668</v>
      </c>
      <c r="C67" s="310" t="s">
        <v>669</v>
      </c>
      <c r="D67" s="310" t="s">
        <v>670</v>
      </c>
      <c r="E67" s="311" t="s">
        <v>496</v>
      </c>
      <c r="F67" s="312">
        <v>250000</v>
      </c>
      <c r="G67" s="313">
        <f t="shared" si="0"/>
        <v>250000</v>
      </c>
      <c r="H67" s="314">
        <v>43621.708333333299</v>
      </c>
      <c r="I67" s="315">
        <v>1</v>
      </c>
      <c r="J67" s="316">
        <v>0</v>
      </c>
      <c r="K67" s="317">
        <v>0</v>
      </c>
      <c r="L67" s="317">
        <v>0</v>
      </c>
      <c r="M67" s="317">
        <f t="shared" si="1"/>
        <v>250000</v>
      </c>
      <c r="N67" s="318"/>
    </row>
    <row r="68" spans="1:14" s="29" customFormat="1" ht="150">
      <c r="A68" s="282">
        <v>61</v>
      </c>
      <c r="B68" s="285" t="s">
        <v>671</v>
      </c>
      <c r="C68" s="284" t="s">
        <v>672</v>
      </c>
      <c r="D68" s="284" t="s">
        <v>673</v>
      </c>
      <c r="E68" s="285" t="s">
        <v>674</v>
      </c>
      <c r="F68" s="286">
        <v>300000</v>
      </c>
      <c r="G68" s="287">
        <f t="shared" si="0"/>
        <v>300000</v>
      </c>
      <c r="H68" s="288">
        <v>44196</v>
      </c>
      <c r="I68" s="289">
        <v>0</v>
      </c>
      <c r="J68" s="290">
        <v>0</v>
      </c>
      <c r="K68" s="291">
        <v>0</v>
      </c>
      <c r="L68" s="291">
        <v>0</v>
      </c>
      <c r="M68" s="291">
        <f t="shared" si="1"/>
        <v>300000</v>
      </c>
      <c r="N68" s="328"/>
    </row>
    <row r="69" spans="1:14" s="29" customFormat="1" ht="120">
      <c r="A69" s="293">
        <v>62</v>
      </c>
      <c r="B69" s="294" t="s">
        <v>675</v>
      </c>
      <c r="C69" s="295" t="s">
        <v>676</v>
      </c>
      <c r="D69" s="295" t="s">
        <v>677</v>
      </c>
      <c r="E69" s="296" t="s">
        <v>678</v>
      </c>
      <c r="F69" s="297">
        <v>150000</v>
      </c>
      <c r="G69" s="298">
        <f t="shared" si="0"/>
        <v>150000</v>
      </c>
      <c r="H69" s="299">
        <v>43344</v>
      </c>
      <c r="I69" s="300">
        <v>1</v>
      </c>
      <c r="J69" s="301">
        <v>0</v>
      </c>
      <c r="K69" s="302">
        <v>0</v>
      </c>
      <c r="L69" s="302">
        <v>0</v>
      </c>
      <c r="M69" s="302">
        <f t="shared" si="1"/>
        <v>150000</v>
      </c>
      <c r="N69" s="305"/>
    </row>
    <row r="70" spans="1:14" s="29" customFormat="1" ht="210">
      <c r="A70" s="293">
        <v>63</v>
      </c>
      <c r="B70" s="294" t="s">
        <v>679</v>
      </c>
      <c r="C70" s="295" t="s">
        <v>680</v>
      </c>
      <c r="D70" s="295" t="s">
        <v>681</v>
      </c>
      <c r="E70" s="296" t="s">
        <v>674</v>
      </c>
      <c r="F70" s="297">
        <v>395000</v>
      </c>
      <c r="G70" s="298">
        <f t="shared" si="0"/>
        <v>395000</v>
      </c>
      <c r="H70" s="299">
        <v>43724.708333333299</v>
      </c>
      <c r="I70" s="300">
        <v>1</v>
      </c>
      <c r="J70" s="301">
        <v>0</v>
      </c>
      <c r="K70" s="302">
        <v>0</v>
      </c>
      <c r="L70" s="302">
        <v>0</v>
      </c>
      <c r="M70" s="302">
        <f t="shared" si="1"/>
        <v>395000</v>
      </c>
      <c r="N70" s="303"/>
    </row>
    <row r="71" spans="1:14" s="29" customFormat="1" ht="135">
      <c r="A71" s="293">
        <v>64</v>
      </c>
      <c r="B71" s="294" t="s">
        <v>682</v>
      </c>
      <c r="C71" s="295" t="s">
        <v>683</v>
      </c>
      <c r="D71" s="295" t="s">
        <v>684</v>
      </c>
      <c r="E71" s="296" t="s">
        <v>678</v>
      </c>
      <c r="F71" s="297">
        <v>20000</v>
      </c>
      <c r="G71" s="298">
        <f t="shared" si="0"/>
        <v>20000</v>
      </c>
      <c r="H71" s="299">
        <v>43147.708333333299</v>
      </c>
      <c r="I71" s="300">
        <v>1</v>
      </c>
      <c r="J71" s="301">
        <v>0</v>
      </c>
      <c r="K71" s="302">
        <v>0</v>
      </c>
      <c r="L71" s="302">
        <v>0</v>
      </c>
      <c r="M71" s="302">
        <f t="shared" si="1"/>
        <v>20000</v>
      </c>
      <c r="N71" s="303"/>
    </row>
    <row r="72" spans="1:14" s="29" customFormat="1" ht="105">
      <c r="A72" s="293">
        <v>65</v>
      </c>
      <c r="B72" s="294" t="s">
        <v>685</v>
      </c>
      <c r="C72" s="295" t="s">
        <v>686</v>
      </c>
      <c r="D72" s="295" t="s">
        <v>687</v>
      </c>
      <c r="E72" s="296" t="s">
        <v>674</v>
      </c>
      <c r="F72" s="297">
        <v>72000</v>
      </c>
      <c r="G72" s="298">
        <f t="shared" ref="G72:G102" si="2">F72</f>
        <v>72000</v>
      </c>
      <c r="H72" s="299">
        <v>43445.708333333299</v>
      </c>
      <c r="I72" s="300">
        <v>1</v>
      </c>
      <c r="J72" s="301">
        <v>0</v>
      </c>
      <c r="K72" s="302">
        <v>0</v>
      </c>
      <c r="L72" s="302">
        <v>0</v>
      </c>
      <c r="M72" s="302">
        <f t="shared" ref="M72:M102" si="3">F72</f>
        <v>72000</v>
      </c>
      <c r="N72" s="303"/>
    </row>
    <row r="73" spans="1:14" s="29" customFormat="1" ht="105">
      <c r="A73" s="293">
        <v>66</v>
      </c>
      <c r="B73" s="294" t="s">
        <v>688</v>
      </c>
      <c r="C73" s="295" t="s">
        <v>689</v>
      </c>
      <c r="D73" s="295" t="s">
        <v>690</v>
      </c>
      <c r="E73" s="296" t="s">
        <v>674</v>
      </c>
      <c r="F73" s="297">
        <v>61000</v>
      </c>
      <c r="G73" s="298">
        <f t="shared" si="2"/>
        <v>61000</v>
      </c>
      <c r="H73" s="299">
        <v>43360.708333333299</v>
      </c>
      <c r="I73" s="300">
        <v>1</v>
      </c>
      <c r="J73" s="301">
        <v>0</v>
      </c>
      <c r="K73" s="302">
        <v>0</v>
      </c>
      <c r="L73" s="302">
        <v>0</v>
      </c>
      <c r="M73" s="302">
        <f t="shared" si="3"/>
        <v>61000</v>
      </c>
      <c r="N73" s="303"/>
    </row>
    <row r="74" spans="1:14" s="29" customFormat="1" ht="120">
      <c r="A74" s="293">
        <v>67</v>
      </c>
      <c r="B74" s="296" t="s">
        <v>691</v>
      </c>
      <c r="C74" s="295" t="s">
        <v>692</v>
      </c>
      <c r="D74" s="295" t="s">
        <v>693</v>
      </c>
      <c r="E74" s="296" t="s">
        <v>674</v>
      </c>
      <c r="F74" s="297">
        <v>55000</v>
      </c>
      <c r="G74" s="298">
        <f t="shared" si="2"/>
        <v>55000</v>
      </c>
      <c r="H74" s="299">
        <v>44196</v>
      </c>
      <c r="I74" s="300">
        <v>0</v>
      </c>
      <c r="J74" s="301">
        <v>0</v>
      </c>
      <c r="K74" s="302">
        <v>0</v>
      </c>
      <c r="L74" s="302">
        <v>0</v>
      </c>
      <c r="M74" s="302">
        <f t="shared" si="3"/>
        <v>55000</v>
      </c>
      <c r="N74" s="329"/>
    </row>
    <row r="75" spans="1:14" s="29" customFormat="1" ht="120">
      <c r="A75" s="293">
        <v>68</v>
      </c>
      <c r="B75" s="294" t="s">
        <v>694</v>
      </c>
      <c r="C75" s="295" t="s">
        <v>695</v>
      </c>
      <c r="D75" s="295" t="s">
        <v>696</v>
      </c>
      <c r="E75" s="296" t="s">
        <v>674</v>
      </c>
      <c r="F75" s="297">
        <v>325000</v>
      </c>
      <c r="G75" s="298">
        <f t="shared" si="2"/>
        <v>325000</v>
      </c>
      <c r="H75" s="299">
        <v>44600.708333333299</v>
      </c>
      <c r="I75" s="300">
        <v>0.05</v>
      </c>
      <c r="J75" s="301">
        <v>0</v>
      </c>
      <c r="K75" s="302">
        <v>0</v>
      </c>
      <c r="L75" s="302">
        <v>0</v>
      </c>
      <c r="M75" s="302">
        <f t="shared" si="3"/>
        <v>325000</v>
      </c>
      <c r="N75" s="303"/>
    </row>
    <row r="76" spans="1:14" s="29" customFormat="1" ht="105">
      <c r="A76" s="293">
        <v>69</v>
      </c>
      <c r="B76" s="296" t="s">
        <v>697</v>
      </c>
      <c r="C76" s="295" t="s">
        <v>698</v>
      </c>
      <c r="D76" s="295" t="s">
        <v>699</v>
      </c>
      <c r="E76" s="296" t="s">
        <v>678</v>
      </c>
      <c r="F76" s="297">
        <v>30000</v>
      </c>
      <c r="G76" s="298">
        <f t="shared" si="2"/>
        <v>30000</v>
      </c>
      <c r="H76" s="299">
        <v>44196</v>
      </c>
      <c r="I76" s="319"/>
      <c r="J76" s="320"/>
      <c r="K76" s="302">
        <v>0</v>
      </c>
      <c r="L76" s="302">
        <v>0</v>
      </c>
      <c r="M76" s="302">
        <f t="shared" si="3"/>
        <v>30000</v>
      </c>
      <c r="N76" s="329"/>
    </row>
    <row r="77" spans="1:14" s="29" customFormat="1" ht="105">
      <c r="A77" s="293">
        <v>70</v>
      </c>
      <c r="B77" s="294" t="s">
        <v>700</v>
      </c>
      <c r="C77" s="295" t="s">
        <v>701</v>
      </c>
      <c r="D77" s="295" t="s">
        <v>702</v>
      </c>
      <c r="E77" s="296" t="s">
        <v>674</v>
      </c>
      <c r="F77" s="297">
        <v>75000</v>
      </c>
      <c r="G77" s="298">
        <f t="shared" si="2"/>
        <v>75000</v>
      </c>
      <c r="H77" s="299">
        <v>43378.5</v>
      </c>
      <c r="I77" s="300">
        <v>1</v>
      </c>
      <c r="J77" s="301">
        <v>0</v>
      </c>
      <c r="K77" s="302">
        <v>0</v>
      </c>
      <c r="L77" s="302">
        <v>0</v>
      </c>
      <c r="M77" s="302">
        <f t="shared" si="3"/>
        <v>75000</v>
      </c>
      <c r="N77" s="303"/>
    </row>
    <row r="78" spans="1:14" s="29" customFormat="1" ht="105">
      <c r="A78" s="293">
        <v>71</v>
      </c>
      <c r="B78" s="294" t="s">
        <v>703</v>
      </c>
      <c r="C78" s="295" t="s">
        <v>704</v>
      </c>
      <c r="D78" s="295" t="s">
        <v>705</v>
      </c>
      <c r="E78" s="296" t="s">
        <v>674</v>
      </c>
      <c r="F78" s="297">
        <v>150000</v>
      </c>
      <c r="G78" s="298">
        <f t="shared" si="2"/>
        <v>150000</v>
      </c>
      <c r="H78" s="299">
        <v>43453.708333333299</v>
      </c>
      <c r="I78" s="300">
        <v>1</v>
      </c>
      <c r="J78" s="301">
        <v>0.06</v>
      </c>
      <c r="K78" s="302">
        <v>0</v>
      </c>
      <c r="L78" s="302">
        <v>0</v>
      </c>
      <c r="M78" s="302">
        <f t="shared" si="3"/>
        <v>150000</v>
      </c>
      <c r="N78" s="303"/>
    </row>
    <row r="79" spans="1:14" s="29" customFormat="1" ht="120">
      <c r="A79" s="293">
        <v>72</v>
      </c>
      <c r="B79" s="294" t="s">
        <v>706</v>
      </c>
      <c r="C79" s="295" t="s">
        <v>707</v>
      </c>
      <c r="D79" s="295" t="s">
        <v>708</v>
      </c>
      <c r="E79" s="296" t="s">
        <v>674</v>
      </c>
      <c r="F79" s="297">
        <v>28000</v>
      </c>
      <c r="G79" s="298">
        <f t="shared" si="2"/>
        <v>28000</v>
      </c>
      <c r="H79" s="299">
        <v>43444.5</v>
      </c>
      <c r="I79" s="300">
        <v>1</v>
      </c>
      <c r="J79" s="301">
        <v>0.57999999999999996</v>
      </c>
      <c r="K79" s="302">
        <v>0</v>
      </c>
      <c r="L79" s="302">
        <v>0</v>
      </c>
      <c r="M79" s="302">
        <f t="shared" si="3"/>
        <v>28000</v>
      </c>
      <c r="N79" s="303"/>
    </row>
    <row r="80" spans="1:14" s="29" customFormat="1" ht="135.75" thickBot="1">
      <c r="A80" s="308">
        <v>73</v>
      </c>
      <c r="B80" s="311">
        <v>8425</v>
      </c>
      <c r="C80" s="310" t="s">
        <v>709</v>
      </c>
      <c r="D80" s="310" t="s">
        <v>710</v>
      </c>
      <c r="E80" s="311" t="s">
        <v>674</v>
      </c>
      <c r="F80" s="312">
        <v>1539000</v>
      </c>
      <c r="G80" s="313">
        <f t="shared" si="2"/>
        <v>1539000</v>
      </c>
      <c r="H80" s="314">
        <v>44196</v>
      </c>
      <c r="I80" s="315">
        <v>0</v>
      </c>
      <c r="J80" s="316">
        <v>0</v>
      </c>
      <c r="K80" s="317">
        <v>0</v>
      </c>
      <c r="L80" s="317">
        <v>0</v>
      </c>
      <c r="M80" s="317">
        <f t="shared" si="3"/>
        <v>1539000</v>
      </c>
      <c r="N80" s="330"/>
    </row>
    <row r="81" spans="1:14" s="29" customFormat="1" ht="120">
      <c r="A81" s="282">
        <v>74</v>
      </c>
      <c r="B81" s="285" t="s">
        <v>711</v>
      </c>
      <c r="C81" s="284" t="s">
        <v>712</v>
      </c>
      <c r="D81" s="284" t="s">
        <v>713</v>
      </c>
      <c r="E81" s="285" t="s">
        <v>714</v>
      </c>
      <c r="F81" s="286">
        <v>125000</v>
      </c>
      <c r="G81" s="287">
        <f t="shared" si="2"/>
        <v>125000</v>
      </c>
      <c r="H81" s="288">
        <v>44196</v>
      </c>
      <c r="I81" s="289">
        <v>1</v>
      </c>
      <c r="J81" s="289">
        <v>0.1</v>
      </c>
      <c r="K81" s="291">
        <v>0</v>
      </c>
      <c r="L81" s="291">
        <v>0</v>
      </c>
      <c r="M81" s="291">
        <f t="shared" si="3"/>
        <v>125000</v>
      </c>
      <c r="N81" s="331"/>
    </row>
    <row r="82" spans="1:14" s="29" customFormat="1" ht="105">
      <c r="A82" s="293">
        <v>75</v>
      </c>
      <c r="B82" s="296">
        <v>128562</v>
      </c>
      <c r="C82" s="295" t="s">
        <v>715</v>
      </c>
      <c r="D82" s="295" t="s">
        <v>716</v>
      </c>
      <c r="E82" s="296" t="s">
        <v>714</v>
      </c>
      <c r="F82" s="297">
        <v>75000</v>
      </c>
      <c r="G82" s="298">
        <f t="shared" si="2"/>
        <v>75000</v>
      </c>
      <c r="H82" s="299">
        <v>44196</v>
      </c>
      <c r="I82" s="300">
        <v>0</v>
      </c>
      <c r="J82" s="300">
        <v>0</v>
      </c>
      <c r="K82" s="302">
        <v>0</v>
      </c>
      <c r="L82" s="302">
        <v>0</v>
      </c>
      <c r="M82" s="302">
        <f t="shared" si="3"/>
        <v>75000</v>
      </c>
      <c r="N82" s="332"/>
    </row>
    <row r="83" spans="1:14" s="29" customFormat="1" ht="180">
      <c r="A83" s="293">
        <v>76</v>
      </c>
      <c r="B83" s="296">
        <v>128632</v>
      </c>
      <c r="C83" s="295" t="s">
        <v>717</v>
      </c>
      <c r="D83" s="295" t="s">
        <v>718</v>
      </c>
      <c r="E83" s="296" t="s">
        <v>714</v>
      </c>
      <c r="F83" s="297">
        <v>4180000</v>
      </c>
      <c r="G83" s="298">
        <f t="shared" si="2"/>
        <v>4180000</v>
      </c>
      <c r="H83" s="299">
        <v>44196</v>
      </c>
      <c r="I83" s="300">
        <v>0.5</v>
      </c>
      <c r="J83" s="301">
        <v>0</v>
      </c>
      <c r="K83" s="302">
        <v>0</v>
      </c>
      <c r="L83" s="302">
        <v>0</v>
      </c>
      <c r="M83" s="302">
        <f t="shared" si="3"/>
        <v>4180000</v>
      </c>
      <c r="N83" s="329"/>
    </row>
    <row r="84" spans="1:14" s="29" customFormat="1" ht="120">
      <c r="A84" s="293">
        <v>77</v>
      </c>
      <c r="B84" s="296">
        <v>128314</v>
      </c>
      <c r="C84" s="295" t="s">
        <v>719</v>
      </c>
      <c r="D84" s="295" t="s">
        <v>720</v>
      </c>
      <c r="E84" s="296" t="s">
        <v>714</v>
      </c>
      <c r="F84" s="297">
        <v>25000</v>
      </c>
      <c r="G84" s="298">
        <f t="shared" si="2"/>
        <v>25000</v>
      </c>
      <c r="H84" s="299">
        <v>44196</v>
      </c>
      <c r="I84" s="300">
        <v>1</v>
      </c>
      <c r="J84" s="300">
        <v>0.1</v>
      </c>
      <c r="K84" s="302">
        <v>0</v>
      </c>
      <c r="L84" s="302">
        <v>0</v>
      </c>
      <c r="M84" s="302">
        <f t="shared" si="3"/>
        <v>25000</v>
      </c>
      <c r="N84" s="329"/>
    </row>
    <row r="85" spans="1:14" s="29" customFormat="1" ht="135">
      <c r="A85" s="293">
        <v>78</v>
      </c>
      <c r="B85" s="296">
        <v>127550</v>
      </c>
      <c r="C85" s="295" t="s">
        <v>721</v>
      </c>
      <c r="D85" s="295" t="s">
        <v>722</v>
      </c>
      <c r="E85" s="296" t="s">
        <v>714</v>
      </c>
      <c r="F85" s="297">
        <v>500000</v>
      </c>
      <c r="G85" s="298">
        <f t="shared" si="2"/>
        <v>500000</v>
      </c>
      <c r="H85" s="299">
        <v>44196</v>
      </c>
      <c r="I85" s="300">
        <v>1</v>
      </c>
      <c r="J85" s="300">
        <v>0</v>
      </c>
      <c r="K85" s="302">
        <v>0</v>
      </c>
      <c r="L85" s="302">
        <v>0</v>
      </c>
      <c r="M85" s="302">
        <f t="shared" si="3"/>
        <v>500000</v>
      </c>
      <c r="N85" s="329"/>
    </row>
    <row r="86" spans="1:14" s="29" customFormat="1" ht="120">
      <c r="A86" s="293">
        <v>79</v>
      </c>
      <c r="B86" s="296">
        <v>118667</v>
      </c>
      <c r="C86" s="295" t="s">
        <v>723</v>
      </c>
      <c r="D86" s="295" t="s">
        <v>724</v>
      </c>
      <c r="E86" s="296" t="s">
        <v>714</v>
      </c>
      <c r="F86" s="297">
        <v>10000</v>
      </c>
      <c r="G86" s="298">
        <f t="shared" si="2"/>
        <v>10000</v>
      </c>
      <c r="H86" s="299">
        <v>44196</v>
      </c>
      <c r="I86" s="300">
        <v>1</v>
      </c>
      <c r="J86" s="300">
        <v>0.1</v>
      </c>
      <c r="K86" s="302">
        <v>0</v>
      </c>
      <c r="L86" s="302">
        <v>0</v>
      </c>
      <c r="M86" s="302">
        <f t="shared" si="3"/>
        <v>10000</v>
      </c>
      <c r="N86" s="329"/>
    </row>
    <row r="87" spans="1:14" s="29" customFormat="1" ht="90">
      <c r="A87" s="293">
        <v>80</v>
      </c>
      <c r="B87" s="296" t="s">
        <v>725</v>
      </c>
      <c r="C87" s="295" t="s">
        <v>726</v>
      </c>
      <c r="D87" s="295" t="s">
        <v>727</v>
      </c>
      <c r="E87" s="296" t="s">
        <v>714</v>
      </c>
      <c r="F87" s="297">
        <v>30000</v>
      </c>
      <c r="G87" s="298">
        <f t="shared" si="2"/>
        <v>30000</v>
      </c>
      <c r="H87" s="299">
        <v>44196</v>
      </c>
      <c r="I87" s="300">
        <v>1</v>
      </c>
      <c r="J87" s="300">
        <v>0.2</v>
      </c>
      <c r="K87" s="302">
        <v>0</v>
      </c>
      <c r="L87" s="302">
        <v>0</v>
      </c>
      <c r="M87" s="302">
        <f t="shared" si="3"/>
        <v>30000</v>
      </c>
      <c r="N87" s="329"/>
    </row>
    <row r="88" spans="1:14" s="29" customFormat="1" ht="120">
      <c r="A88" s="293">
        <v>81</v>
      </c>
      <c r="B88" s="296" t="s">
        <v>728</v>
      </c>
      <c r="C88" s="295" t="s">
        <v>729</v>
      </c>
      <c r="D88" s="295" t="s">
        <v>730</v>
      </c>
      <c r="E88" s="296" t="s">
        <v>714</v>
      </c>
      <c r="F88" s="297">
        <v>25000</v>
      </c>
      <c r="G88" s="298">
        <f t="shared" si="2"/>
        <v>25000</v>
      </c>
      <c r="H88" s="299">
        <v>44196</v>
      </c>
      <c r="I88" s="300">
        <v>1</v>
      </c>
      <c r="J88" s="300">
        <v>0.9</v>
      </c>
      <c r="K88" s="302">
        <v>0</v>
      </c>
      <c r="L88" s="302">
        <v>0</v>
      </c>
      <c r="M88" s="302">
        <f t="shared" si="3"/>
        <v>25000</v>
      </c>
      <c r="N88" s="329"/>
    </row>
    <row r="89" spans="1:14" s="29" customFormat="1" ht="120.75" thickBot="1">
      <c r="A89" s="308">
        <v>82</v>
      </c>
      <c r="B89" s="311" t="s">
        <v>731</v>
      </c>
      <c r="C89" s="310" t="s">
        <v>732</v>
      </c>
      <c r="D89" s="310" t="s">
        <v>733</v>
      </c>
      <c r="E89" s="311" t="s">
        <v>714</v>
      </c>
      <c r="F89" s="312">
        <v>30000</v>
      </c>
      <c r="G89" s="313">
        <f t="shared" si="2"/>
        <v>30000</v>
      </c>
      <c r="H89" s="314">
        <v>44196</v>
      </c>
      <c r="I89" s="315">
        <v>1</v>
      </c>
      <c r="J89" s="315">
        <v>0.1</v>
      </c>
      <c r="K89" s="317">
        <v>0</v>
      </c>
      <c r="L89" s="317">
        <v>0</v>
      </c>
      <c r="M89" s="317">
        <f t="shared" si="3"/>
        <v>30000</v>
      </c>
      <c r="N89" s="330"/>
    </row>
    <row r="90" spans="1:14" s="29" customFormat="1" ht="90">
      <c r="A90" s="282">
        <v>83</v>
      </c>
      <c r="B90" s="283" t="s">
        <v>734</v>
      </c>
      <c r="C90" s="284" t="s">
        <v>735</v>
      </c>
      <c r="D90" s="284" t="s">
        <v>736</v>
      </c>
      <c r="E90" s="285" t="s">
        <v>737</v>
      </c>
      <c r="F90" s="286">
        <v>6274215</v>
      </c>
      <c r="G90" s="287">
        <f t="shared" si="2"/>
        <v>6274215</v>
      </c>
      <c r="H90" s="288">
        <v>43845.708333333299</v>
      </c>
      <c r="I90" s="289">
        <v>0.6</v>
      </c>
      <c r="J90" s="290">
        <v>0</v>
      </c>
      <c r="K90" s="291">
        <v>0</v>
      </c>
      <c r="L90" s="291">
        <v>0</v>
      </c>
      <c r="M90" s="291">
        <f t="shared" si="3"/>
        <v>6274215</v>
      </c>
      <c r="N90" s="292"/>
    </row>
    <row r="91" spans="1:14" s="29" customFormat="1" ht="105">
      <c r="A91" s="293">
        <v>84</v>
      </c>
      <c r="B91" s="294" t="s">
        <v>738</v>
      </c>
      <c r="C91" s="295" t="s">
        <v>739</v>
      </c>
      <c r="D91" s="295" t="s">
        <v>740</v>
      </c>
      <c r="E91" s="296" t="s">
        <v>737</v>
      </c>
      <c r="F91" s="297">
        <v>17031700</v>
      </c>
      <c r="G91" s="298">
        <f t="shared" si="2"/>
        <v>17031700</v>
      </c>
      <c r="H91" s="299">
        <v>43859.708333333299</v>
      </c>
      <c r="I91" s="300">
        <v>0.6</v>
      </c>
      <c r="J91" s="301">
        <v>0</v>
      </c>
      <c r="K91" s="302">
        <v>0</v>
      </c>
      <c r="L91" s="302">
        <v>0</v>
      </c>
      <c r="M91" s="302">
        <f t="shared" si="3"/>
        <v>17031700</v>
      </c>
      <c r="N91" s="303"/>
    </row>
    <row r="92" spans="1:14" s="29" customFormat="1" ht="135">
      <c r="A92" s="293">
        <v>85</v>
      </c>
      <c r="B92" s="294" t="s">
        <v>741</v>
      </c>
      <c r="C92" s="295" t="s">
        <v>742</v>
      </c>
      <c r="D92" s="295" t="s">
        <v>743</v>
      </c>
      <c r="E92" s="296" t="s">
        <v>737</v>
      </c>
      <c r="F92" s="297">
        <v>2481400</v>
      </c>
      <c r="G92" s="298">
        <f t="shared" si="2"/>
        <v>2481400</v>
      </c>
      <c r="H92" s="299">
        <v>43935.708333333299</v>
      </c>
      <c r="I92" s="300">
        <v>0.3</v>
      </c>
      <c r="J92" s="301">
        <v>0</v>
      </c>
      <c r="K92" s="302">
        <v>0</v>
      </c>
      <c r="L92" s="302">
        <v>0</v>
      </c>
      <c r="M92" s="302">
        <f t="shared" si="3"/>
        <v>2481400</v>
      </c>
      <c r="N92" s="303"/>
    </row>
    <row r="93" spans="1:14" s="29" customFormat="1" ht="135">
      <c r="A93" s="293">
        <v>86</v>
      </c>
      <c r="B93" s="294" t="s">
        <v>744</v>
      </c>
      <c r="C93" s="295" t="s">
        <v>745</v>
      </c>
      <c r="D93" s="295" t="s">
        <v>746</v>
      </c>
      <c r="E93" s="296" t="s">
        <v>737</v>
      </c>
      <c r="F93" s="297">
        <v>1632000</v>
      </c>
      <c r="G93" s="298">
        <f t="shared" si="2"/>
        <v>1632000</v>
      </c>
      <c r="H93" s="299">
        <v>43927.708333333299</v>
      </c>
      <c r="I93" s="300">
        <v>0.3</v>
      </c>
      <c r="J93" s="301">
        <v>0</v>
      </c>
      <c r="K93" s="302">
        <v>0</v>
      </c>
      <c r="L93" s="302">
        <v>0</v>
      </c>
      <c r="M93" s="302">
        <f t="shared" si="3"/>
        <v>1632000</v>
      </c>
      <c r="N93" s="303"/>
    </row>
    <row r="94" spans="1:14" s="29" customFormat="1" ht="120">
      <c r="A94" s="293">
        <v>87</v>
      </c>
      <c r="B94" s="294" t="s">
        <v>747</v>
      </c>
      <c r="C94" s="295" t="s">
        <v>748</v>
      </c>
      <c r="D94" s="295" t="s">
        <v>749</v>
      </c>
      <c r="E94" s="296" t="s">
        <v>737</v>
      </c>
      <c r="F94" s="297">
        <v>157950</v>
      </c>
      <c r="G94" s="298">
        <f t="shared" si="2"/>
        <v>157950</v>
      </c>
      <c r="H94" s="299">
        <v>43483.708333333299</v>
      </c>
      <c r="I94" s="300">
        <v>0.6</v>
      </c>
      <c r="J94" s="301">
        <v>0</v>
      </c>
      <c r="K94" s="302">
        <v>0</v>
      </c>
      <c r="L94" s="302">
        <v>0</v>
      </c>
      <c r="M94" s="302">
        <f t="shared" si="3"/>
        <v>157950</v>
      </c>
      <c r="N94" s="303"/>
    </row>
    <row r="95" spans="1:14" s="29" customFormat="1" ht="90">
      <c r="A95" s="293">
        <v>88</v>
      </c>
      <c r="B95" s="294" t="s">
        <v>750</v>
      </c>
      <c r="C95" s="295" t="s">
        <v>751</v>
      </c>
      <c r="D95" s="295" t="s">
        <v>752</v>
      </c>
      <c r="E95" s="296" t="s">
        <v>737</v>
      </c>
      <c r="F95" s="297">
        <v>1660500</v>
      </c>
      <c r="G95" s="298">
        <f t="shared" si="2"/>
        <v>1660500</v>
      </c>
      <c r="H95" s="299">
        <v>43986.708333333299</v>
      </c>
      <c r="I95" s="300">
        <v>0.3</v>
      </c>
      <c r="J95" s="301">
        <v>0</v>
      </c>
      <c r="K95" s="302">
        <v>0</v>
      </c>
      <c r="L95" s="302">
        <v>0</v>
      </c>
      <c r="M95" s="302">
        <f t="shared" si="3"/>
        <v>1660500</v>
      </c>
      <c r="N95" s="303"/>
    </row>
    <row r="96" spans="1:14" s="29" customFormat="1" ht="105">
      <c r="A96" s="293">
        <v>89</v>
      </c>
      <c r="B96" s="294" t="s">
        <v>753</v>
      </c>
      <c r="C96" s="295" t="s">
        <v>754</v>
      </c>
      <c r="D96" s="295" t="s">
        <v>755</v>
      </c>
      <c r="E96" s="296" t="s">
        <v>737</v>
      </c>
      <c r="F96" s="297">
        <v>4286250</v>
      </c>
      <c r="G96" s="298">
        <f t="shared" si="2"/>
        <v>4286250</v>
      </c>
      <c r="H96" s="299">
        <v>44019.708333333299</v>
      </c>
      <c r="I96" s="300">
        <v>0.3</v>
      </c>
      <c r="J96" s="301">
        <v>0</v>
      </c>
      <c r="K96" s="302">
        <v>0</v>
      </c>
      <c r="L96" s="302">
        <v>0</v>
      </c>
      <c r="M96" s="302">
        <f t="shared" si="3"/>
        <v>4286250</v>
      </c>
      <c r="N96" s="303"/>
    </row>
    <row r="97" spans="1:14" s="29" customFormat="1" ht="120">
      <c r="A97" s="293">
        <v>90</v>
      </c>
      <c r="B97" s="294" t="s">
        <v>101</v>
      </c>
      <c r="C97" s="295" t="s">
        <v>756</v>
      </c>
      <c r="D97" s="304" t="s">
        <v>757</v>
      </c>
      <c r="E97" s="296" t="s">
        <v>737</v>
      </c>
      <c r="F97" s="297">
        <v>977000</v>
      </c>
      <c r="G97" s="298">
        <f t="shared" si="2"/>
        <v>977000</v>
      </c>
      <c r="H97" s="299">
        <v>44196</v>
      </c>
      <c r="I97" s="300">
        <v>1</v>
      </c>
      <c r="J97" s="301">
        <v>0</v>
      </c>
      <c r="K97" s="302">
        <v>0</v>
      </c>
      <c r="L97" s="302">
        <v>0</v>
      </c>
      <c r="M97" s="302">
        <f t="shared" si="3"/>
        <v>977000</v>
      </c>
      <c r="N97" s="303"/>
    </row>
    <row r="98" spans="1:14" s="29" customFormat="1" ht="135">
      <c r="A98" s="293">
        <v>91</v>
      </c>
      <c r="B98" s="294" t="s">
        <v>758</v>
      </c>
      <c r="C98" s="295" t="s">
        <v>759</v>
      </c>
      <c r="D98" s="295" t="s">
        <v>760</v>
      </c>
      <c r="E98" s="296" t="s">
        <v>737</v>
      </c>
      <c r="F98" s="297">
        <v>8729250</v>
      </c>
      <c r="G98" s="298">
        <f t="shared" si="2"/>
        <v>8729250</v>
      </c>
      <c r="H98" s="299">
        <v>43600.641666666699</v>
      </c>
      <c r="I98" s="300">
        <v>0.6</v>
      </c>
      <c r="J98" s="301">
        <v>0</v>
      </c>
      <c r="K98" s="302">
        <v>0</v>
      </c>
      <c r="L98" s="302">
        <v>0</v>
      </c>
      <c r="M98" s="302">
        <f t="shared" si="3"/>
        <v>8729250</v>
      </c>
      <c r="N98" s="303"/>
    </row>
    <row r="99" spans="1:14" s="29" customFormat="1" ht="120">
      <c r="A99" s="293">
        <v>92</v>
      </c>
      <c r="B99" s="296" t="s">
        <v>101</v>
      </c>
      <c r="C99" s="295" t="s">
        <v>761</v>
      </c>
      <c r="D99" s="295" t="s">
        <v>762</v>
      </c>
      <c r="E99" s="296" t="s">
        <v>763</v>
      </c>
      <c r="F99" s="297">
        <v>677100</v>
      </c>
      <c r="G99" s="298">
        <f t="shared" si="2"/>
        <v>677100</v>
      </c>
      <c r="H99" s="299">
        <v>44196</v>
      </c>
      <c r="I99" s="300">
        <v>0</v>
      </c>
      <c r="J99" s="301">
        <v>0</v>
      </c>
      <c r="K99" s="302">
        <v>0</v>
      </c>
      <c r="L99" s="302">
        <v>0</v>
      </c>
      <c r="M99" s="302">
        <f t="shared" si="3"/>
        <v>677100</v>
      </c>
      <c r="N99" s="329"/>
    </row>
    <row r="100" spans="1:14" s="29" customFormat="1" ht="75">
      <c r="A100" s="293">
        <v>93</v>
      </c>
      <c r="B100" s="294" t="s">
        <v>101</v>
      </c>
      <c r="C100" s="295" t="s">
        <v>764</v>
      </c>
      <c r="D100" s="295" t="s">
        <v>765</v>
      </c>
      <c r="E100" s="296" t="s">
        <v>737</v>
      </c>
      <c r="F100" s="297">
        <v>300000</v>
      </c>
      <c r="G100" s="298">
        <f t="shared" si="2"/>
        <v>300000</v>
      </c>
      <c r="H100" s="299">
        <v>44196</v>
      </c>
      <c r="I100" s="300">
        <v>0</v>
      </c>
      <c r="J100" s="301">
        <v>0</v>
      </c>
      <c r="K100" s="302">
        <v>0</v>
      </c>
      <c r="L100" s="302">
        <v>0</v>
      </c>
      <c r="M100" s="302">
        <f t="shared" si="3"/>
        <v>300000</v>
      </c>
      <c r="N100" s="305"/>
    </row>
    <row r="101" spans="1:14" s="29" customFormat="1" ht="105">
      <c r="A101" s="293">
        <v>94</v>
      </c>
      <c r="B101" s="296" t="s">
        <v>101</v>
      </c>
      <c r="C101" s="295" t="s">
        <v>766</v>
      </c>
      <c r="D101" s="295" t="s">
        <v>767</v>
      </c>
      <c r="E101" s="296" t="s">
        <v>737</v>
      </c>
      <c r="F101" s="297">
        <v>813600</v>
      </c>
      <c r="G101" s="298">
        <f t="shared" si="2"/>
        <v>813600</v>
      </c>
      <c r="H101" s="299">
        <v>44196</v>
      </c>
      <c r="I101" s="300">
        <v>1</v>
      </c>
      <c r="J101" s="301">
        <v>0</v>
      </c>
      <c r="K101" s="302">
        <v>0</v>
      </c>
      <c r="L101" s="302">
        <v>0</v>
      </c>
      <c r="M101" s="302">
        <f t="shared" si="3"/>
        <v>813600</v>
      </c>
      <c r="N101" s="329"/>
    </row>
    <row r="102" spans="1:14" s="29" customFormat="1" ht="135.75" thickBot="1">
      <c r="A102" s="308">
        <v>95</v>
      </c>
      <c r="B102" s="309" t="s">
        <v>768</v>
      </c>
      <c r="C102" s="310" t="s">
        <v>769</v>
      </c>
      <c r="D102" s="310" t="s">
        <v>770</v>
      </c>
      <c r="E102" s="311" t="s">
        <v>737</v>
      </c>
      <c r="F102" s="312">
        <v>4164700</v>
      </c>
      <c r="G102" s="313">
        <f t="shared" si="2"/>
        <v>4164700</v>
      </c>
      <c r="H102" s="314">
        <v>43641.708333333299</v>
      </c>
      <c r="I102" s="315">
        <v>0.3</v>
      </c>
      <c r="J102" s="316">
        <v>0</v>
      </c>
      <c r="K102" s="317">
        <v>0</v>
      </c>
      <c r="L102" s="317">
        <v>0</v>
      </c>
      <c r="M102" s="317">
        <f t="shared" si="3"/>
        <v>4164700</v>
      </c>
      <c r="N102" s="321"/>
    </row>
    <row r="103" spans="1:14" ht="16.5" thickBot="1">
      <c r="A103" s="260"/>
      <c r="B103" s="260"/>
      <c r="C103" s="276"/>
      <c r="D103" s="276"/>
      <c r="E103" s="322" t="s">
        <v>54</v>
      </c>
      <c r="F103" s="323">
        <f>SUM(F8:F102)</f>
        <v>66185665.138499998</v>
      </c>
      <c r="G103" s="323">
        <f>SUM(G8:G102)</f>
        <v>66185665.138499998</v>
      </c>
      <c r="H103" s="324"/>
      <c r="I103" s="325"/>
      <c r="J103" s="325"/>
      <c r="K103" s="323">
        <f>SUM(K89:K102)</f>
        <v>0</v>
      </c>
      <c r="L103" s="326">
        <f>SUM(L89:L102)</f>
        <v>0</v>
      </c>
      <c r="M103" s="327">
        <f t="shared" ref="M103" si="4">G103-K103-L103</f>
        <v>66185665.138499998</v>
      </c>
      <c r="N103" s="324"/>
    </row>
  </sheetData>
  <mergeCells count="17">
    <mergeCell ref="K5:K7"/>
    <mergeCell ref="L5:L7"/>
    <mergeCell ref="M5:M7"/>
    <mergeCell ref="N5:N7"/>
    <mergeCell ref="E5:E7"/>
    <mergeCell ref="F5:F7"/>
    <mergeCell ref="G5:G7"/>
    <mergeCell ref="H5:H7"/>
    <mergeCell ref="I5:I7"/>
    <mergeCell ref="J5:J7"/>
    <mergeCell ref="C1:D1"/>
    <mergeCell ref="C2:D2"/>
    <mergeCell ref="C3:D3"/>
    <mergeCell ref="A5:A7"/>
    <mergeCell ref="B5:B7"/>
    <mergeCell ref="C5:C7"/>
    <mergeCell ref="D5:D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topLeftCell="A40" workbookViewId="0">
      <selection activeCell="E9" sqref="E9"/>
    </sheetView>
  </sheetViews>
  <sheetFormatPr defaultRowHeight="15"/>
  <cols>
    <col min="2" max="2" width="12.85546875" customWidth="1"/>
    <col min="3" max="3" width="12.140625" customWidth="1"/>
    <col min="4" max="4" width="14.5703125" customWidth="1"/>
    <col min="5" max="5" width="13.28515625" customWidth="1"/>
    <col min="6" max="6" width="16.85546875" customWidth="1"/>
    <col min="7" max="7" width="12.85546875" customWidth="1"/>
    <col min="8" max="8" width="14" customWidth="1"/>
    <col min="11" max="11" width="16.28515625" customWidth="1"/>
    <col min="12" max="12" width="12.7109375" customWidth="1"/>
    <col min="13" max="13" width="18" customWidth="1"/>
  </cols>
  <sheetData>
    <row r="1" spans="1:14" ht="15.75">
      <c r="B1" s="181" t="s">
        <v>17</v>
      </c>
      <c r="C1" s="537" t="s">
        <v>345</v>
      </c>
      <c r="D1" s="538"/>
      <c r="E1" s="21"/>
      <c r="F1" s="147"/>
      <c r="H1" s="182"/>
      <c r="I1" s="183"/>
      <c r="J1" s="184"/>
      <c r="K1" s="185"/>
      <c r="L1" s="185"/>
      <c r="N1" s="186"/>
    </row>
    <row r="2" spans="1:14" ht="15.75">
      <c r="B2" s="181" t="s">
        <v>19</v>
      </c>
      <c r="C2" s="539">
        <v>42991</v>
      </c>
      <c r="D2" s="540"/>
      <c r="E2" s="23"/>
      <c r="F2" s="147"/>
      <c r="G2" s="22"/>
      <c r="H2" s="187"/>
      <c r="I2" s="183"/>
      <c r="J2" s="183"/>
      <c r="K2" s="185"/>
      <c r="L2" s="185"/>
      <c r="M2" s="25">
        <f>C2</f>
        <v>42991</v>
      </c>
      <c r="N2" s="186"/>
    </row>
    <row r="3" spans="1:14" ht="31.5">
      <c r="B3" s="181" t="s">
        <v>20</v>
      </c>
      <c r="C3" s="541" t="s">
        <v>346</v>
      </c>
      <c r="D3" s="542"/>
      <c r="E3" s="26"/>
      <c r="F3" s="147"/>
      <c r="H3" s="182"/>
      <c r="I3" s="184"/>
      <c r="J3" s="184"/>
      <c r="K3" s="185"/>
      <c r="L3" s="185"/>
      <c r="N3" s="186"/>
    </row>
    <row r="4" spans="1:14" ht="15.75">
      <c r="B4" s="188"/>
      <c r="C4" s="28"/>
      <c r="D4" s="29"/>
      <c r="E4" s="29"/>
      <c r="F4" s="147"/>
      <c r="H4" s="182"/>
      <c r="I4" s="184"/>
      <c r="J4" s="184"/>
      <c r="K4" s="185"/>
      <c r="L4" s="185"/>
      <c r="N4" s="186"/>
    </row>
    <row r="5" spans="1:14" ht="39" customHeight="1">
      <c r="A5" s="543" t="s">
        <v>57</v>
      </c>
      <c r="B5" s="546" t="s">
        <v>22</v>
      </c>
      <c r="C5" s="547" t="s">
        <v>23</v>
      </c>
      <c r="D5" s="547" t="s">
        <v>24</v>
      </c>
      <c r="E5" s="547" t="s">
        <v>25</v>
      </c>
      <c r="F5" s="551" t="s">
        <v>15</v>
      </c>
      <c r="G5" s="547" t="s">
        <v>58</v>
      </c>
      <c r="H5" s="543" t="s">
        <v>26</v>
      </c>
      <c r="I5" s="552" t="s">
        <v>27</v>
      </c>
      <c r="J5" s="555" t="s">
        <v>28</v>
      </c>
      <c r="K5" s="548" t="s">
        <v>13</v>
      </c>
      <c r="L5" s="548" t="s">
        <v>11</v>
      </c>
      <c r="M5" s="543" t="s">
        <v>9</v>
      </c>
      <c r="N5" s="543" t="s">
        <v>31</v>
      </c>
    </row>
    <row r="6" spans="1:14" ht="39" customHeight="1">
      <c r="A6" s="544"/>
      <c r="B6" s="546"/>
      <c r="C6" s="547"/>
      <c r="D6" s="547"/>
      <c r="E6" s="547"/>
      <c r="F6" s="551"/>
      <c r="G6" s="547"/>
      <c r="H6" s="544"/>
      <c r="I6" s="553"/>
      <c r="J6" s="555"/>
      <c r="K6" s="549"/>
      <c r="L6" s="549"/>
      <c r="M6" s="544"/>
      <c r="N6" s="544"/>
    </row>
    <row r="7" spans="1:14" ht="39" customHeight="1">
      <c r="A7" s="545"/>
      <c r="B7" s="546"/>
      <c r="C7" s="547"/>
      <c r="D7" s="547"/>
      <c r="E7" s="547"/>
      <c r="F7" s="551"/>
      <c r="G7" s="547"/>
      <c r="H7" s="545"/>
      <c r="I7" s="554"/>
      <c r="J7" s="555"/>
      <c r="K7" s="550"/>
      <c r="L7" s="550"/>
      <c r="M7" s="545"/>
      <c r="N7" s="545"/>
    </row>
    <row r="8" spans="1:14" s="29" customFormat="1" ht="60">
      <c r="A8" s="134">
        <v>1</v>
      </c>
      <c r="B8" s="197" t="s">
        <v>347</v>
      </c>
      <c r="C8" s="162" t="s">
        <v>348</v>
      </c>
      <c r="D8" s="45" t="s">
        <v>349</v>
      </c>
      <c r="E8" s="32" t="s">
        <v>350</v>
      </c>
      <c r="F8" s="198">
        <v>437400</v>
      </c>
      <c r="G8" s="45"/>
      <c r="H8" s="199">
        <v>43000</v>
      </c>
      <c r="I8" s="200">
        <v>1</v>
      </c>
      <c r="J8" s="200">
        <v>0</v>
      </c>
      <c r="K8" s="130">
        <v>217358.2</v>
      </c>
      <c r="L8" s="130">
        <v>97884.91</v>
      </c>
      <c r="M8" s="130">
        <f>F8-K8-L8</f>
        <v>122156.88999999998</v>
      </c>
      <c r="N8" s="134"/>
    </row>
    <row r="9" spans="1:14" s="29" customFormat="1" ht="60">
      <c r="A9" s="134">
        <v>2</v>
      </c>
      <c r="B9" s="197" t="s">
        <v>351</v>
      </c>
      <c r="C9" s="162" t="s">
        <v>352</v>
      </c>
      <c r="D9" s="45" t="s">
        <v>349</v>
      </c>
      <c r="E9" s="32" t="s">
        <v>350</v>
      </c>
      <c r="F9" s="198">
        <v>877300</v>
      </c>
      <c r="G9" s="45"/>
      <c r="H9" s="199">
        <v>43000</v>
      </c>
      <c r="I9" s="200">
        <v>1</v>
      </c>
      <c r="J9" s="200">
        <v>0</v>
      </c>
      <c r="K9" s="130">
        <v>358695.57</v>
      </c>
      <c r="L9" s="130">
        <v>184281.79</v>
      </c>
      <c r="M9" s="130">
        <f t="shared" ref="M9:M41" si="0">F9-K9-L9</f>
        <v>334322.64</v>
      </c>
      <c r="N9" s="134"/>
    </row>
    <row r="10" spans="1:14" s="29" customFormat="1" ht="75">
      <c r="A10" s="134">
        <v>3</v>
      </c>
      <c r="B10" s="197" t="s">
        <v>353</v>
      </c>
      <c r="C10" s="162" t="s">
        <v>354</v>
      </c>
      <c r="D10" s="45" t="s">
        <v>355</v>
      </c>
      <c r="E10" s="32" t="s">
        <v>350</v>
      </c>
      <c r="F10" s="198">
        <v>139700</v>
      </c>
      <c r="G10" s="45"/>
      <c r="H10" s="199">
        <v>43000</v>
      </c>
      <c r="I10" s="200">
        <v>1</v>
      </c>
      <c r="J10" s="200">
        <v>0</v>
      </c>
      <c r="K10" s="130">
        <v>33334.199999999997</v>
      </c>
      <c r="L10" s="130">
        <v>18194.5</v>
      </c>
      <c r="M10" s="130">
        <f t="shared" si="0"/>
        <v>88171.3</v>
      </c>
      <c r="N10" s="134"/>
    </row>
    <row r="11" spans="1:14" s="29" customFormat="1" ht="60">
      <c r="A11" s="134">
        <v>4</v>
      </c>
      <c r="B11" s="201">
        <v>10013001</v>
      </c>
      <c r="C11" s="151" t="s">
        <v>356</v>
      </c>
      <c r="D11" s="45" t="s">
        <v>357</v>
      </c>
      <c r="E11" s="32" t="s">
        <v>350</v>
      </c>
      <c r="F11" s="130">
        <v>134000</v>
      </c>
      <c r="G11" s="129"/>
      <c r="H11" s="199">
        <v>43388</v>
      </c>
      <c r="I11" s="200">
        <v>0.86</v>
      </c>
      <c r="J11" s="200">
        <v>0</v>
      </c>
      <c r="K11" s="130"/>
      <c r="L11" s="130"/>
      <c r="M11" s="130">
        <f t="shared" si="0"/>
        <v>134000</v>
      </c>
      <c r="N11" s="134"/>
    </row>
    <row r="12" spans="1:14" s="29" customFormat="1" ht="60">
      <c r="A12" s="134">
        <v>5</v>
      </c>
      <c r="B12" s="201" t="s">
        <v>358</v>
      </c>
      <c r="C12" s="151" t="s">
        <v>359</v>
      </c>
      <c r="D12" s="45" t="s">
        <v>360</v>
      </c>
      <c r="E12" s="32" t="s">
        <v>350</v>
      </c>
      <c r="F12" s="130">
        <v>1000000</v>
      </c>
      <c r="G12" s="129"/>
      <c r="H12" s="199">
        <v>43600</v>
      </c>
      <c r="I12" s="200">
        <v>0.01</v>
      </c>
      <c r="J12" s="200">
        <v>0</v>
      </c>
      <c r="K12" s="130"/>
      <c r="L12" s="130"/>
      <c r="M12" s="130">
        <f t="shared" si="0"/>
        <v>1000000</v>
      </c>
      <c r="N12" s="134"/>
    </row>
    <row r="13" spans="1:14" s="29" customFormat="1" ht="105">
      <c r="A13" s="134">
        <v>6</v>
      </c>
      <c r="B13" s="201" t="s">
        <v>361</v>
      </c>
      <c r="C13" s="151" t="s">
        <v>362</v>
      </c>
      <c r="D13" s="45" t="s">
        <v>363</v>
      </c>
      <c r="E13" s="32" t="s">
        <v>350</v>
      </c>
      <c r="F13" s="130">
        <v>1000000</v>
      </c>
      <c r="G13" s="129"/>
      <c r="H13" s="199">
        <v>43436</v>
      </c>
      <c r="I13" s="200">
        <v>0.45</v>
      </c>
      <c r="J13" s="200">
        <v>0</v>
      </c>
      <c r="K13" s="130"/>
      <c r="L13" s="130"/>
      <c r="M13" s="130">
        <f t="shared" si="0"/>
        <v>1000000</v>
      </c>
      <c r="N13" s="134"/>
    </row>
    <row r="14" spans="1:14" s="29" customFormat="1" ht="75">
      <c r="A14" s="134">
        <v>7</v>
      </c>
      <c r="B14" s="201" t="s">
        <v>364</v>
      </c>
      <c r="C14" s="45" t="s">
        <v>365</v>
      </c>
      <c r="D14" s="45" t="s">
        <v>366</v>
      </c>
      <c r="E14" s="32" t="s">
        <v>350</v>
      </c>
      <c r="F14" s="130">
        <v>98900</v>
      </c>
      <c r="G14" s="129"/>
      <c r="H14" s="199">
        <v>43266</v>
      </c>
      <c r="I14" s="200">
        <v>0.14000000000000001</v>
      </c>
      <c r="J14" s="200">
        <v>0</v>
      </c>
      <c r="K14" s="130"/>
      <c r="L14" s="130"/>
      <c r="M14" s="130">
        <f t="shared" si="0"/>
        <v>98900</v>
      </c>
      <c r="N14" s="134"/>
    </row>
    <row r="15" spans="1:14" s="29" customFormat="1" ht="90">
      <c r="A15" s="134">
        <v>8</v>
      </c>
      <c r="B15" s="201" t="s">
        <v>367</v>
      </c>
      <c r="C15" s="45" t="s">
        <v>368</v>
      </c>
      <c r="D15" s="45" t="s">
        <v>369</v>
      </c>
      <c r="E15" s="32" t="s">
        <v>350</v>
      </c>
      <c r="F15" s="130">
        <v>153600</v>
      </c>
      <c r="G15" s="129"/>
      <c r="H15" s="199">
        <v>43262</v>
      </c>
      <c r="I15" s="200">
        <v>1</v>
      </c>
      <c r="J15" s="200">
        <v>0</v>
      </c>
      <c r="K15" s="130"/>
      <c r="L15" s="130"/>
      <c r="M15" s="130">
        <f t="shared" si="0"/>
        <v>153600</v>
      </c>
      <c r="N15" s="134"/>
    </row>
    <row r="16" spans="1:14" s="29" customFormat="1" ht="75">
      <c r="A16" s="134">
        <v>9</v>
      </c>
      <c r="B16" s="201" t="s">
        <v>370</v>
      </c>
      <c r="C16" s="151" t="s">
        <v>371</v>
      </c>
      <c r="D16" s="45" t="s">
        <v>372</v>
      </c>
      <c r="E16" s="32" t="s">
        <v>350</v>
      </c>
      <c r="F16" s="130">
        <v>52500</v>
      </c>
      <c r="G16" s="129"/>
      <c r="H16" s="199">
        <v>43272</v>
      </c>
      <c r="I16" s="200">
        <v>0</v>
      </c>
      <c r="J16" s="200">
        <v>0</v>
      </c>
      <c r="K16" s="130"/>
      <c r="L16" s="130"/>
      <c r="M16" s="130">
        <f t="shared" si="0"/>
        <v>52500</v>
      </c>
      <c r="N16" s="134"/>
    </row>
    <row r="17" spans="1:14" s="29" customFormat="1" ht="60">
      <c r="A17" s="134">
        <v>10</v>
      </c>
      <c r="B17" s="201" t="s">
        <v>373</v>
      </c>
      <c r="C17" s="151" t="s">
        <v>374</v>
      </c>
      <c r="D17" s="45" t="s">
        <v>375</v>
      </c>
      <c r="E17" s="32" t="s">
        <v>350</v>
      </c>
      <c r="F17" s="130">
        <v>1600280</v>
      </c>
      <c r="G17" s="129"/>
      <c r="H17" s="199">
        <v>43644</v>
      </c>
      <c r="I17" s="200">
        <v>1</v>
      </c>
      <c r="J17" s="200">
        <v>0</v>
      </c>
      <c r="K17" s="130"/>
      <c r="L17" s="130"/>
      <c r="M17" s="130">
        <f t="shared" si="0"/>
        <v>1600280</v>
      </c>
      <c r="N17" s="134"/>
    </row>
    <row r="18" spans="1:14" s="29" customFormat="1" ht="75">
      <c r="A18" s="134">
        <v>11</v>
      </c>
      <c r="B18" s="201" t="s">
        <v>376</v>
      </c>
      <c r="C18" s="151" t="s">
        <v>377</v>
      </c>
      <c r="D18" s="45" t="s">
        <v>378</v>
      </c>
      <c r="E18" s="32" t="s">
        <v>350</v>
      </c>
      <c r="F18" s="130">
        <v>3015000</v>
      </c>
      <c r="G18" s="129"/>
      <c r="H18" s="199">
        <v>43860</v>
      </c>
      <c r="I18" s="200">
        <v>0.45</v>
      </c>
      <c r="J18" s="200">
        <v>0</v>
      </c>
      <c r="K18" s="130"/>
      <c r="L18" s="130"/>
      <c r="M18" s="130">
        <f t="shared" si="0"/>
        <v>3015000</v>
      </c>
      <c r="N18" s="134"/>
    </row>
    <row r="19" spans="1:14" s="29" customFormat="1" ht="90">
      <c r="A19" s="134">
        <v>12</v>
      </c>
      <c r="B19" s="201" t="s">
        <v>379</v>
      </c>
      <c r="C19" s="151" t="s">
        <v>380</v>
      </c>
      <c r="D19" s="45" t="s">
        <v>381</v>
      </c>
      <c r="E19" s="32" t="s">
        <v>350</v>
      </c>
      <c r="F19" s="130">
        <v>2709000</v>
      </c>
      <c r="G19" s="202"/>
      <c r="H19" s="199">
        <v>43464</v>
      </c>
      <c r="I19" s="200">
        <v>1</v>
      </c>
      <c r="J19" s="200">
        <v>0</v>
      </c>
      <c r="K19" s="130"/>
      <c r="L19" s="130"/>
      <c r="M19" s="130">
        <f t="shared" si="0"/>
        <v>2709000</v>
      </c>
      <c r="N19" s="134"/>
    </row>
    <row r="20" spans="1:14" s="29" customFormat="1" ht="75">
      <c r="A20" s="134">
        <v>13</v>
      </c>
      <c r="B20" s="197" t="s">
        <v>382</v>
      </c>
      <c r="C20" s="189" t="s">
        <v>383</v>
      </c>
      <c r="D20" s="45" t="s">
        <v>384</v>
      </c>
      <c r="E20" s="32" t="s">
        <v>350</v>
      </c>
      <c r="F20" s="198">
        <v>900000</v>
      </c>
      <c r="G20" s="45"/>
      <c r="H20" s="199">
        <v>43495</v>
      </c>
      <c r="I20" s="200">
        <v>0.01</v>
      </c>
      <c r="J20" s="200">
        <v>0</v>
      </c>
      <c r="K20" s="130"/>
      <c r="L20" s="130"/>
      <c r="M20" s="130">
        <f t="shared" si="0"/>
        <v>900000</v>
      </c>
      <c r="N20" s="134"/>
    </row>
    <row r="21" spans="1:14" s="29" customFormat="1" ht="60">
      <c r="A21" s="134">
        <v>14</v>
      </c>
      <c r="B21" s="201" t="s">
        <v>385</v>
      </c>
      <c r="C21" s="151" t="s">
        <v>386</v>
      </c>
      <c r="D21" s="45" t="s">
        <v>387</v>
      </c>
      <c r="E21" s="32" t="s">
        <v>350</v>
      </c>
      <c r="F21" s="130">
        <v>140000</v>
      </c>
      <c r="G21" s="129"/>
      <c r="H21" s="199">
        <v>43208</v>
      </c>
      <c r="I21" s="200">
        <v>0.8</v>
      </c>
      <c r="J21" s="200">
        <v>0</v>
      </c>
      <c r="K21" s="130"/>
      <c r="L21" s="130"/>
      <c r="M21" s="130">
        <f t="shared" si="0"/>
        <v>140000</v>
      </c>
      <c r="N21" s="134"/>
    </row>
    <row r="22" spans="1:14" s="29" customFormat="1" ht="105">
      <c r="A22" s="134">
        <v>15</v>
      </c>
      <c r="B22" s="201" t="s">
        <v>388</v>
      </c>
      <c r="C22" s="151" t="s">
        <v>389</v>
      </c>
      <c r="D22" s="45" t="s">
        <v>390</v>
      </c>
      <c r="E22" s="32" t="s">
        <v>350</v>
      </c>
      <c r="F22" s="198">
        <v>6249400</v>
      </c>
      <c r="G22" s="202"/>
      <c r="H22" s="199">
        <v>43829</v>
      </c>
      <c r="I22" s="200">
        <v>1</v>
      </c>
      <c r="J22" s="200">
        <v>0</v>
      </c>
      <c r="K22" s="130"/>
      <c r="L22" s="130"/>
      <c r="M22" s="130">
        <f t="shared" si="0"/>
        <v>6249400</v>
      </c>
      <c r="N22" s="134"/>
    </row>
    <row r="23" spans="1:14" s="29" customFormat="1" ht="120">
      <c r="A23" s="134">
        <v>16</v>
      </c>
      <c r="B23" s="197" t="s">
        <v>391</v>
      </c>
      <c r="C23" s="189" t="s">
        <v>392</v>
      </c>
      <c r="D23" s="45" t="s">
        <v>393</v>
      </c>
      <c r="E23" s="32" t="s">
        <v>350</v>
      </c>
      <c r="F23" s="198">
        <v>5651409</v>
      </c>
      <c r="G23" s="45"/>
      <c r="H23" s="199">
        <v>43814</v>
      </c>
      <c r="I23" s="200">
        <v>1</v>
      </c>
      <c r="J23" s="200">
        <v>0</v>
      </c>
      <c r="K23" s="130"/>
      <c r="L23" s="130"/>
      <c r="M23" s="130">
        <f t="shared" si="0"/>
        <v>5651409</v>
      </c>
      <c r="N23" s="134"/>
    </row>
    <row r="24" spans="1:14" s="29" customFormat="1" ht="75">
      <c r="A24" s="134">
        <v>17</v>
      </c>
      <c r="B24" s="197" t="s">
        <v>394</v>
      </c>
      <c r="C24" s="189" t="s">
        <v>395</v>
      </c>
      <c r="D24" s="45" t="s">
        <v>396</v>
      </c>
      <c r="E24" s="32" t="s">
        <v>350</v>
      </c>
      <c r="F24" s="198">
        <v>474100</v>
      </c>
      <c r="G24" s="45"/>
      <c r="H24" s="199">
        <v>43152</v>
      </c>
      <c r="I24" s="200">
        <v>0.79</v>
      </c>
      <c r="J24" s="200">
        <v>0</v>
      </c>
      <c r="K24" s="130"/>
      <c r="L24" s="130"/>
      <c r="M24" s="130">
        <f t="shared" si="0"/>
        <v>474100</v>
      </c>
      <c r="N24" s="134"/>
    </row>
    <row r="25" spans="1:14" s="29" customFormat="1" ht="60">
      <c r="A25" s="134">
        <v>18</v>
      </c>
      <c r="B25" s="197" t="s">
        <v>397</v>
      </c>
      <c r="C25" s="189" t="s">
        <v>398</v>
      </c>
      <c r="D25" s="45" t="s">
        <v>399</v>
      </c>
      <c r="E25" s="32" t="s">
        <v>350</v>
      </c>
      <c r="F25" s="198">
        <v>140000</v>
      </c>
      <c r="G25" s="45"/>
      <c r="H25" s="199">
        <v>43298</v>
      </c>
      <c r="I25" s="200">
        <v>0.9</v>
      </c>
      <c r="J25" s="200">
        <v>0</v>
      </c>
      <c r="K25" s="130"/>
      <c r="L25" s="130"/>
      <c r="M25" s="130">
        <f t="shared" si="0"/>
        <v>140000</v>
      </c>
      <c r="N25" s="134"/>
    </row>
    <row r="26" spans="1:14" s="29" customFormat="1" ht="60">
      <c r="A26" s="134">
        <v>19</v>
      </c>
      <c r="B26" s="197" t="s">
        <v>400</v>
      </c>
      <c r="C26" s="189" t="s">
        <v>398</v>
      </c>
      <c r="D26" s="45" t="s">
        <v>401</v>
      </c>
      <c r="E26" s="32" t="s">
        <v>350</v>
      </c>
      <c r="F26" s="198">
        <v>1000000</v>
      </c>
      <c r="G26" s="45"/>
      <c r="H26" s="199">
        <v>43414</v>
      </c>
      <c r="I26" s="200">
        <v>0.14000000000000001</v>
      </c>
      <c r="J26" s="200">
        <v>0</v>
      </c>
      <c r="K26" s="130"/>
      <c r="L26" s="130"/>
      <c r="M26" s="130">
        <f t="shared" si="0"/>
        <v>1000000</v>
      </c>
      <c r="N26" s="134"/>
    </row>
    <row r="27" spans="1:14" s="29" customFormat="1" ht="90">
      <c r="A27" s="134">
        <v>20</v>
      </c>
      <c r="B27" s="197" t="s">
        <v>402</v>
      </c>
      <c r="C27" s="189" t="s">
        <v>403</v>
      </c>
      <c r="D27" s="45" t="s">
        <v>404</v>
      </c>
      <c r="E27" s="32" t="s">
        <v>350</v>
      </c>
      <c r="F27" s="198">
        <v>435000</v>
      </c>
      <c r="G27" s="45"/>
      <c r="H27" s="199">
        <v>43262</v>
      </c>
      <c r="I27" s="200">
        <v>1</v>
      </c>
      <c r="J27" s="200">
        <v>0</v>
      </c>
      <c r="K27" s="130"/>
      <c r="L27" s="130"/>
      <c r="M27" s="130">
        <f t="shared" si="0"/>
        <v>435000</v>
      </c>
      <c r="N27" s="134"/>
    </row>
    <row r="28" spans="1:14" s="29" customFormat="1" ht="60">
      <c r="A28" s="134">
        <v>21</v>
      </c>
      <c r="B28" s="197" t="s">
        <v>405</v>
      </c>
      <c r="C28" s="162" t="s">
        <v>406</v>
      </c>
      <c r="D28" s="45" t="s">
        <v>407</v>
      </c>
      <c r="E28" s="32" t="s">
        <v>350</v>
      </c>
      <c r="F28" s="198">
        <v>2000000</v>
      </c>
      <c r="G28" s="45"/>
      <c r="H28" s="199">
        <v>43661</v>
      </c>
      <c r="I28" s="200">
        <v>0.81</v>
      </c>
      <c r="J28" s="200">
        <v>0</v>
      </c>
      <c r="K28" s="130"/>
      <c r="L28" s="130"/>
      <c r="M28" s="130">
        <f t="shared" si="0"/>
        <v>2000000</v>
      </c>
      <c r="N28" s="134"/>
    </row>
    <row r="29" spans="1:14" s="29" customFormat="1" ht="60">
      <c r="A29" s="134">
        <v>22</v>
      </c>
      <c r="B29" s="197" t="s">
        <v>408</v>
      </c>
      <c r="C29" s="162" t="s">
        <v>362</v>
      </c>
      <c r="D29" s="45" t="s">
        <v>409</v>
      </c>
      <c r="E29" s="32" t="s">
        <v>350</v>
      </c>
      <c r="F29" s="198">
        <v>1571400</v>
      </c>
      <c r="G29" s="45"/>
      <c r="H29" s="199">
        <v>43436</v>
      </c>
      <c r="I29" s="200">
        <v>0</v>
      </c>
      <c r="J29" s="200">
        <v>0</v>
      </c>
      <c r="K29" s="130"/>
      <c r="L29" s="130"/>
      <c r="M29" s="130">
        <f t="shared" si="0"/>
        <v>1571400</v>
      </c>
      <c r="N29" s="134"/>
    </row>
    <row r="30" spans="1:14" s="29" customFormat="1" ht="60">
      <c r="A30" s="134">
        <v>23</v>
      </c>
      <c r="B30" s="197" t="s">
        <v>410</v>
      </c>
      <c r="C30" s="162" t="s">
        <v>411</v>
      </c>
      <c r="D30" s="45" t="s">
        <v>412</v>
      </c>
      <c r="E30" s="32" t="s">
        <v>350</v>
      </c>
      <c r="F30" s="198">
        <v>60900</v>
      </c>
      <c r="G30" s="45"/>
      <c r="H30" s="199">
        <v>43225</v>
      </c>
      <c r="I30" s="200">
        <v>0.98</v>
      </c>
      <c r="J30" s="200">
        <v>0</v>
      </c>
      <c r="K30" s="130"/>
      <c r="L30" s="130"/>
      <c r="M30" s="130">
        <f t="shared" si="0"/>
        <v>60900</v>
      </c>
      <c r="N30" s="134"/>
    </row>
    <row r="31" spans="1:14" s="29" customFormat="1" ht="60">
      <c r="A31" s="134">
        <v>24</v>
      </c>
      <c r="B31" s="197" t="s">
        <v>413</v>
      </c>
      <c r="C31" s="162" t="s">
        <v>414</v>
      </c>
      <c r="D31" s="45" t="s">
        <v>415</v>
      </c>
      <c r="E31" s="32" t="s">
        <v>350</v>
      </c>
      <c r="F31" s="198">
        <v>687700</v>
      </c>
      <c r="G31" s="45"/>
      <c r="H31" s="199">
        <v>43141</v>
      </c>
      <c r="I31" s="200">
        <v>1</v>
      </c>
      <c r="J31" s="200">
        <v>0</v>
      </c>
      <c r="K31" s="130"/>
      <c r="L31" s="130"/>
      <c r="M31" s="130">
        <f t="shared" si="0"/>
        <v>687700</v>
      </c>
      <c r="N31" s="134"/>
    </row>
    <row r="32" spans="1:14" s="29" customFormat="1" ht="60">
      <c r="A32" s="134">
        <v>25</v>
      </c>
      <c r="B32" s="197" t="s">
        <v>416</v>
      </c>
      <c r="C32" s="162" t="s">
        <v>417</v>
      </c>
      <c r="D32" s="45" t="s">
        <v>418</v>
      </c>
      <c r="E32" s="32" t="s">
        <v>350</v>
      </c>
      <c r="F32" s="198">
        <v>245600</v>
      </c>
      <c r="G32" s="45"/>
      <c r="H32" s="199">
        <v>43172</v>
      </c>
      <c r="I32" s="200">
        <v>1</v>
      </c>
      <c r="J32" s="200">
        <v>0</v>
      </c>
      <c r="K32" s="130"/>
      <c r="L32" s="130"/>
      <c r="M32" s="130">
        <f t="shared" si="0"/>
        <v>245600</v>
      </c>
      <c r="N32" s="134"/>
    </row>
    <row r="33" spans="1:14" s="29" customFormat="1" ht="90">
      <c r="A33" s="134">
        <v>26</v>
      </c>
      <c r="B33" s="197" t="s">
        <v>419</v>
      </c>
      <c r="C33" s="162" t="s">
        <v>420</v>
      </c>
      <c r="D33" s="45" t="s">
        <v>381</v>
      </c>
      <c r="E33" s="32" t="s">
        <v>350</v>
      </c>
      <c r="F33" s="198">
        <v>2596600</v>
      </c>
      <c r="G33" s="45"/>
      <c r="H33" s="203">
        <v>43464</v>
      </c>
      <c r="I33" s="204">
        <v>1</v>
      </c>
      <c r="J33" s="200">
        <v>0</v>
      </c>
      <c r="K33" s="130"/>
      <c r="L33" s="130"/>
      <c r="M33" s="130">
        <f t="shared" si="0"/>
        <v>2596600</v>
      </c>
      <c r="N33" s="134"/>
    </row>
    <row r="34" spans="1:14" s="29" customFormat="1" ht="75">
      <c r="A34" s="134">
        <v>27</v>
      </c>
      <c r="B34" s="197" t="s">
        <v>421</v>
      </c>
      <c r="C34" s="162" t="s">
        <v>414</v>
      </c>
      <c r="D34" s="45" t="s">
        <v>422</v>
      </c>
      <c r="E34" s="32" t="s">
        <v>350</v>
      </c>
      <c r="F34" s="198">
        <v>350200</v>
      </c>
      <c r="G34" s="45"/>
      <c r="H34" s="203">
        <v>43174</v>
      </c>
      <c r="I34" s="204" t="s">
        <v>423</v>
      </c>
      <c r="J34" s="200">
        <v>0</v>
      </c>
      <c r="K34" s="130"/>
      <c r="L34" s="130"/>
      <c r="M34" s="130">
        <f t="shared" si="0"/>
        <v>350200</v>
      </c>
      <c r="N34" s="134"/>
    </row>
    <row r="35" spans="1:14" s="29" customFormat="1" ht="75">
      <c r="A35" s="134">
        <v>28</v>
      </c>
      <c r="B35" s="197" t="s">
        <v>424</v>
      </c>
      <c r="C35" s="162" t="s">
        <v>392</v>
      </c>
      <c r="D35" s="45" t="s">
        <v>425</v>
      </c>
      <c r="E35" s="32" t="s">
        <v>350</v>
      </c>
      <c r="F35" s="198">
        <v>59300</v>
      </c>
      <c r="G35" s="45"/>
      <c r="H35" s="203">
        <v>43115</v>
      </c>
      <c r="I35" s="204" t="s">
        <v>423</v>
      </c>
      <c r="J35" s="200">
        <v>0</v>
      </c>
      <c r="K35" s="130"/>
      <c r="L35" s="130"/>
      <c r="M35" s="130">
        <f t="shared" si="0"/>
        <v>59300</v>
      </c>
      <c r="N35" s="134"/>
    </row>
    <row r="36" spans="1:14" s="29" customFormat="1" ht="75">
      <c r="A36" s="134">
        <v>29</v>
      </c>
      <c r="B36" s="197" t="s">
        <v>426</v>
      </c>
      <c r="C36" s="162" t="s">
        <v>427</v>
      </c>
      <c r="D36" s="45" t="s">
        <v>422</v>
      </c>
      <c r="E36" s="32" t="s">
        <v>350</v>
      </c>
      <c r="F36" s="198">
        <v>327400</v>
      </c>
      <c r="G36" s="45"/>
      <c r="H36" s="203">
        <v>43160</v>
      </c>
      <c r="I36" s="204" t="s">
        <v>423</v>
      </c>
      <c r="J36" s="200">
        <v>0</v>
      </c>
      <c r="K36" s="130"/>
      <c r="L36" s="130"/>
      <c r="M36" s="130">
        <f t="shared" si="0"/>
        <v>327400</v>
      </c>
      <c r="N36" s="134"/>
    </row>
    <row r="37" spans="1:14" s="29" customFormat="1" ht="105">
      <c r="A37" s="134">
        <v>30</v>
      </c>
      <c r="B37" s="197" t="s">
        <v>428</v>
      </c>
      <c r="C37" s="162" t="s">
        <v>429</v>
      </c>
      <c r="D37" s="45" t="s">
        <v>430</v>
      </c>
      <c r="E37" s="32" t="s">
        <v>350</v>
      </c>
      <c r="F37" s="198">
        <v>205800</v>
      </c>
      <c r="G37" s="45"/>
      <c r="H37" s="199">
        <v>43267</v>
      </c>
      <c r="I37" s="200">
        <v>1</v>
      </c>
      <c r="J37" s="200">
        <v>0</v>
      </c>
      <c r="K37" s="130"/>
      <c r="L37" s="130"/>
      <c r="M37" s="130">
        <f t="shared" si="0"/>
        <v>205800</v>
      </c>
      <c r="N37" s="134"/>
    </row>
    <row r="38" spans="1:14" s="29" customFormat="1" ht="60">
      <c r="A38" s="134">
        <v>31</v>
      </c>
      <c r="B38" s="197" t="s">
        <v>431</v>
      </c>
      <c r="C38" s="162" t="s">
        <v>389</v>
      </c>
      <c r="D38" s="45" t="s">
        <v>432</v>
      </c>
      <c r="E38" s="32" t="s">
        <v>350</v>
      </c>
      <c r="F38" s="198">
        <v>6500000</v>
      </c>
      <c r="G38" s="45"/>
      <c r="H38" s="199">
        <v>43845</v>
      </c>
      <c r="I38" s="200">
        <v>0.81</v>
      </c>
      <c r="J38" s="200">
        <v>0</v>
      </c>
      <c r="K38" s="130"/>
      <c r="L38" s="130"/>
      <c r="M38" s="130">
        <f t="shared" si="0"/>
        <v>6500000</v>
      </c>
      <c r="N38" s="134"/>
    </row>
    <row r="39" spans="1:14" s="29" customFormat="1" ht="75">
      <c r="A39" s="134">
        <v>32</v>
      </c>
      <c r="B39" s="197" t="s">
        <v>433</v>
      </c>
      <c r="C39" s="162" t="s">
        <v>389</v>
      </c>
      <c r="D39" s="45" t="s">
        <v>396</v>
      </c>
      <c r="E39" s="32" t="s">
        <v>350</v>
      </c>
      <c r="F39" s="198">
        <v>474100</v>
      </c>
      <c r="G39" s="45"/>
      <c r="H39" s="199">
        <v>43126</v>
      </c>
      <c r="I39" s="200">
        <v>0.8</v>
      </c>
      <c r="J39" s="200">
        <v>0</v>
      </c>
      <c r="K39" s="130"/>
      <c r="L39" s="130"/>
      <c r="M39" s="130">
        <f t="shared" si="0"/>
        <v>474100</v>
      </c>
      <c r="N39" s="134"/>
    </row>
    <row r="40" spans="1:14" s="29" customFormat="1" ht="60">
      <c r="A40" s="134">
        <v>33</v>
      </c>
      <c r="B40" s="197" t="s">
        <v>434</v>
      </c>
      <c r="C40" s="162" t="s">
        <v>380</v>
      </c>
      <c r="D40" s="45" t="s">
        <v>435</v>
      </c>
      <c r="E40" s="32" t="s">
        <v>350</v>
      </c>
      <c r="F40" s="198">
        <v>299000</v>
      </c>
      <c r="G40" s="45"/>
      <c r="H40" s="199">
        <v>43112</v>
      </c>
      <c r="I40" s="204" t="s">
        <v>423</v>
      </c>
      <c r="J40" s="200">
        <v>0</v>
      </c>
      <c r="K40" s="130"/>
      <c r="L40" s="130"/>
      <c r="M40" s="130">
        <f t="shared" si="0"/>
        <v>299000</v>
      </c>
      <c r="N40" s="134"/>
    </row>
    <row r="41" spans="1:14" s="29" customFormat="1" ht="75.75" thickBot="1">
      <c r="A41" s="134">
        <v>34</v>
      </c>
      <c r="B41" s="197" t="s">
        <v>436</v>
      </c>
      <c r="C41" s="162" t="s">
        <v>389</v>
      </c>
      <c r="D41" s="45" t="s">
        <v>437</v>
      </c>
      <c r="E41" s="32" t="s">
        <v>350</v>
      </c>
      <c r="F41" s="205">
        <v>50400</v>
      </c>
      <c r="G41" s="146"/>
      <c r="H41" s="199">
        <v>43203</v>
      </c>
      <c r="I41" s="206">
        <v>1</v>
      </c>
      <c r="J41" s="206">
        <v>0</v>
      </c>
      <c r="K41" s="207"/>
      <c r="L41" s="207"/>
      <c r="M41" s="130">
        <f t="shared" si="0"/>
        <v>50400</v>
      </c>
      <c r="N41" s="208"/>
    </row>
    <row r="42" spans="1:14" ht="16.5" thickBot="1">
      <c r="A42" s="190" t="s">
        <v>438</v>
      </c>
      <c r="B42" s="191"/>
      <c r="C42" s="73"/>
      <c r="D42" s="73"/>
      <c r="E42" s="66" t="s">
        <v>54</v>
      </c>
      <c r="F42" s="67">
        <f>SUM(F8:F41)</f>
        <v>41635989</v>
      </c>
      <c r="G42" s="68">
        <f>SUM(G8:G20)</f>
        <v>0</v>
      </c>
      <c r="H42" s="192"/>
      <c r="I42" s="193"/>
      <c r="J42" s="193"/>
      <c r="K42" s="194">
        <f>SUM(K8:K41)</f>
        <v>609387.97</v>
      </c>
      <c r="L42" s="195">
        <f>SUM(L8:L41)</f>
        <v>300361.2</v>
      </c>
      <c r="M42" s="195">
        <f>SUM(M8:M41)</f>
        <v>40726239.829999998</v>
      </c>
      <c r="N42" s="196"/>
    </row>
  </sheetData>
  <mergeCells count="17">
    <mergeCell ref="K5:K7"/>
    <mergeCell ref="L5:L7"/>
    <mergeCell ref="M5:M7"/>
    <mergeCell ref="N5:N7"/>
    <mergeCell ref="E5:E7"/>
    <mergeCell ref="F5:F7"/>
    <mergeCell ref="G5:G7"/>
    <mergeCell ref="H5:H7"/>
    <mergeCell ref="I5:I7"/>
    <mergeCell ref="J5:J7"/>
    <mergeCell ref="C1:D1"/>
    <mergeCell ref="C2:D2"/>
    <mergeCell ref="C3:D3"/>
    <mergeCell ref="A5:A7"/>
    <mergeCell ref="B5:B7"/>
    <mergeCell ref="C5:C7"/>
    <mergeCell ref="D5:D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opLeftCell="A13" workbookViewId="0">
      <selection activeCell="E3" sqref="E3"/>
    </sheetView>
  </sheetViews>
  <sheetFormatPr defaultRowHeight="15"/>
  <cols>
    <col min="1" max="1" width="15" customWidth="1"/>
    <col min="2" max="2" width="25.42578125" customWidth="1"/>
    <col min="3" max="3" width="27.7109375" customWidth="1"/>
    <col min="4" max="4" width="15.28515625" customWidth="1"/>
    <col min="5" max="5" width="18.140625" customWidth="1"/>
    <col min="6" max="6" width="22.42578125" customWidth="1"/>
    <col min="7" max="7" width="20.5703125" customWidth="1"/>
    <col min="10" max="10" width="15" customWidth="1"/>
    <col min="11" max="11" width="16.5703125" customWidth="1"/>
    <col min="12" max="12" width="15.7109375" customWidth="1"/>
  </cols>
  <sheetData>
    <row r="1" spans="1:13" ht="15.75">
      <c r="A1" s="20" t="s">
        <v>17</v>
      </c>
      <c r="B1" s="537" t="s">
        <v>18</v>
      </c>
      <c r="C1" s="538"/>
      <c r="D1" s="21"/>
      <c r="H1" s="22"/>
    </row>
    <row r="2" spans="1:13" ht="15.75">
      <c r="A2" s="20" t="s">
        <v>19</v>
      </c>
      <c r="B2" s="539">
        <v>42979</v>
      </c>
      <c r="C2" s="540"/>
      <c r="D2" s="23"/>
      <c r="F2" s="22"/>
      <c r="G2" s="24"/>
      <c r="H2" s="22"/>
      <c r="I2" s="22"/>
      <c r="L2" s="25">
        <v>42979</v>
      </c>
    </row>
    <row r="3" spans="1:13" ht="31.5">
      <c r="A3" s="20" t="s">
        <v>20</v>
      </c>
      <c r="B3" s="541" t="s">
        <v>21</v>
      </c>
      <c r="C3" s="542"/>
      <c r="D3" s="26"/>
    </row>
    <row r="4" spans="1:13" ht="15.75">
      <c r="A4" s="27"/>
      <c r="B4" s="28"/>
      <c r="C4" s="29"/>
      <c r="D4" s="29"/>
    </row>
    <row r="5" spans="1:13">
      <c r="A5" s="547" t="s">
        <v>22</v>
      </c>
      <c r="B5" s="547" t="s">
        <v>23</v>
      </c>
      <c r="C5" s="547" t="s">
        <v>24</v>
      </c>
      <c r="D5" s="547" t="s">
        <v>25</v>
      </c>
      <c r="E5" s="547" t="s">
        <v>15</v>
      </c>
      <c r="F5" s="547" t="s">
        <v>14</v>
      </c>
      <c r="G5" s="559" t="s">
        <v>26</v>
      </c>
      <c r="H5" s="562" t="s">
        <v>27</v>
      </c>
      <c r="I5" s="565" t="s">
        <v>28</v>
      </c>
      <c r="J5" s="556" t="s">
        <v>29</v>
      </c>
      <c r="K5" s="556" t="s">
        <v>30</v>
      </c>
      <c r="L5" s="543" t="s">
        <v>9</v>
      </c>
      <c r="M5" s="543" t="s">
        <v>31</v>
      </c>
    </row>
    <row r="6" spans="1:13">
      <c r="A6" s="547"/>
      <c r="B6" s="547"/>
      <c r="C6" s="547"/>
      <c r="D6" s="547"/>
      <c r="E6" s="547"/>
      <c r="F6" s="547"/>
      <c r="G6" s="560"/>
      <c r="H6" s="563"/>
      <c r="I6" s="565"/>
      <c r="J6" s="557"/>
      <c r="K6" s="557"/>
      <c r="L6" s="544"/>
      <c r="M6" s="544"/>
    </row>
    <row r="7" spans="1:13">
      <c r="A7" s="547"/>
      <c r="B7" s="547"/>
      <c r="C7" s="547"/>
      <c r="D7" s="547"/>
      <c r="E7" s="547"/>
      <c r="F7" s="547"/>
      <c r="G7" s="561"/>
      <c r="H7" s="564"/>
      <c r="I7" s="565"/>
      <c r="J7" s="558"/>
      <c r="K7" s="558"/>
      <c r="L7" s="545"/>
      <c r="M7" s="545"/>
    </row>
    <row r="8" spans="1:13" s="29" customFormat="1" ht="60">
      <c r="A8" s="30">
        <v>303</v>
      </c>
      <c r="B8" s="31" t="s">
        <v>32</v>
      </c>
      <c r="C8" s="32" t="s">
        <v>33</v>
      </c>
      <c r="D8" s="30" t="s">
        <v>34</v>
      </c>
      <c r="E8" s="33">
        <v>2000000</v>
      </c>
      <c r="F8" s="33">
        <v>2000000</v>
      </c>
      <c r="G8" s="34">
        <v>44926</v>
      </c>
      <c r="H8" s="35">
        <v>0</v>
      </c>
      <c r="I8" s="35">
        <v>0</v>
      </c>
      <c r="J8" s="36">
        <v>0</v>
      </c>
      <c r="K8" s="36">
        <v>0</v>
      </c>
      <c r="L8" s="33">
        <v>0</v>
      </c>
      <c r="M8" s="30" t="s">
        <v>35</v>
      </c>
    </row>
    <row r="9" spans="1:13" ht="137.25">
      <c r="A9" s="30">
        <v>303</v>
      </c>
      <c r="B9" s="31" t="s">
        <v>36</v>
      </c>
      <c r="C9" s="32" t="s">
        <v>37</v>
      </c>
      <c r="D9" s="30" t="s">
        <v>34</v>
      </c>
      <c r="E9" s="33">
        <v>39000000</v>
      </c>
      <c r="F9" s="33">
        <v>39000000</v>
      </c>
      <c r="G9" s="34">
        <v>44926</v>
      </c>
      <c r="H9" s="35">
        <v>0</v>
      </c>
      <c r="I9" s="35">
        <v>0</v>
      </c>
      <c r="J9" s="36">
        <v>0</v>
      </c>
      <c r="K9" s="36">
        <v>0</v>
      </c>
      <c r="L9" s="33">
        <v>0</v>
      </c>
      <c r="M9" s="30" t="s">
        <v>35</v>
      </c>
    </row>
    <row r="10" spans="1:13" s="29" customFormat="1" ht="174.75">
      <c r="A10" s="30">
        <v>303</v>
      </c>
      <c r="B10" s="38" t="s">
        <v>38</v>
      </c>
      <c r="C10" s="32" t="s">
        <v>39</v>
      </c>
      <c r="D10" s="30" t="s">
        <v>34</v>
      </c>
      <c r="E10" s="39">
        <v>19500000</v>
      </c>
      <c r="F10" s="39">
        <v>19500000</v>
      </c>
      <c r="G10" s="34">
        <v>44926</v>
      </c>
      <c r="H10" s="35">
        <v>0</v>
      </c>
      <c r="I10" s="35">
        <v>0</v>
      </c>
      <c r="J10" s="44">
        <v>0</v>
      </c>
      <c r="K10" s="44">
        <v>0</v>
      </c>
      <c r="L10" s="33">
        <v>0</v>
      </c>
      <c r="M10" s="30" t="s">
        <v>35</v>
      </c>
    </row>
    <row r="11" spans="1:13" ht="135">
      <c r="A11" s="37">
        <v>303</v>
      </c>
      <c r="B11" s="43" t="s">
        <v>40</v>
      </c>
      <c r="C11" s="43" t="s">
        <v>41</v>
      </c>
      <c r="D11" s="30" t="s">
        <v>34</v>
      </c>
      <c r="E11" s="39">
        <v>10000000</v>
      </c>
      <c r="F11" s="40">
        <v>10000000</v>
      </c>
      <c r="G11" s="41">
        <v>44926</v>
      </c>
      <c r="H11" s="35">
        <v>0</v>
      </c>
      <c r="I11" s="35">
        <v>0</v>
      </c>
      <c r="J11" s="44">
        <v>0</v>
      </c>
      <c r="K11" s="44">
        <v>0</v>
      </c>
      <c r="L11" s="33">
        <v>0</v>
      </c>
      <c r="M11" s="30" t="s">
        <v>35</v>
      </c>
    </row>
    <row r="12" spans="1:13" s="29" customFormat="1" ht="90">
      <c r="A12" s="30">
        <v>303</v>
      </c>
      <c r="B12" s="43" t="s">
        <v>42</v>
      </c>
      <c r="C12" s="43" t="s">
        <v>43</v>
      </c>
      <c r="D12" s="30" t="s">
        <v>34</v>
      </c>
      <c r="E12" s="39">
        <v>1000000</v>
      </c>
      <c r="F12" s="39">
        <v>1000000</v>
      </c>
      <c r="G12" s="34">
        <v>44926</v>
      </c>
      <c r="H12" s="35">
        <v>0</v>
      </c>
      <c r="I12" s="35">
        <v>0</v>
      </c>
      <c r="J12" s="44">
        <v>0</v>
      </c>
      <c r="K12" s="44">
        <v>0</v>
      </c>
      <c r="L12" s="33">
        <v>0</v>
      </c>
      <c r="M12" s="30" t="s">
        <v>35</v>
      </c>
    </row>
    <row r="13" spans="1:13" ht="75">
      <c r="A13" s="37">
        <v>303</v>
      </c>
      <c r="B13" s="45" t="s">
        <v>44</v>
      </c>
      <c r="C13" s="43" t="s">
        <v>45</v>
      </c>
      <c r="D13" s="30" t="s">
        <v>34</v>
      </c>
      <c r="E13" s="39">
        <v>5850000</v>
      </c>
      <c r="F13" s="40">
        <v>5850000</v>
      </c>
      <c r="G13" s="41">
        <v>44926</v>
      </c>
      <c r="H13" s="35">
        <v>0</v>
      </c>
      <c r="I13" s="35">
        <v>0</v>
      </c>
      <c r="J13" s="44">
        <v>0</v>
      </c>
      <c r="K13" s="44">
        <v>0</v>
      </c>
      <c r="L13" s="33">
        <v>0</v>
      </c>
      <c r="M13" s="30" t="s">
        <v>35</v>
      </c>
    </row>
    <row r="14" spans="1:13" s="29" customFormat="1" ht="30">
      <c r="A14" s="30">
        <v>303</v>
      </c>
      <c r="B14" s="43" t="s">
        <v>46</v>
      </c>
      <c r="C14" s="43" t="s">
        <v>47</v>
      </c>
      <c r="D14" s="30" t="s">
        <v>34</v>
      </c>
      <c r="E14" s="39">
        <v>2200000</v>
      </c>
      <c r="F14" s="39">
        <v>2200000</v>
      </c>
      <c r="G14" s="34">
        <v>44926</v>
      </c>
      <c r="H14" s="35">
        <v>0</v>
      </c>
      <c r="I14" s="35">
        <v>0</v>
      </c>
      <c r="J14" s="44">
        <v>0</v>
      </c>
      <c r="K14" s="44">
        <v>0</v>
      </c>
      <c r="L14" s="33">
        <v>0</v>
      </c>
      <c r="M14" s="30" t="s">
        <v>35</v>
      </c>
    </row>
    <row r="15" spans="1:13" s="29" customFormat="1" ht="90">
      <c r="A15" s="30">
        <v>303</v>
      </c>
      <c r="B15" s="43" t="s">
        <v>48</v>
      </c>
      <c r="C15" s="43" t="s">
        <v>49</v>
      </c>
      <c r="D15" s="30" t="s">
        <v>34</v>
      </c>
      <c r="E15" s="39">
        <v>5150000</v>
      </c>
      <c r="F15" s="39">
        <v>5150000</v>
      </c>
      <c r="G15" s="34">
        <v>44926</v>
      </c>
      <c r="H15" s="35">
        <v>0</v>
      </c>
      <c r="I15" s="35">
        <v>0</v>
      </c>
      <c r="J15" s="44">
        <v>0</v>
      </c>
      <c r="K15" s="44">
        <v>0</v>
      </c>
      <c r="L15" s="33">
        <v>0</v>
      </c>
      <c r="M15" s="30" t="s">
        <v>35</v>
      </c>
    </row>
    <row r="16" spans="1:13" ht="45">
      <c r="A16" s="46">
        <v>303</v>
      </c>
      <c r="B16" s="43" t="s">
        <v>50</v>
      </c>
      <c r="C16" s="43" t="s">
        <v>51</v>
      </c>
      <c r="D16" s="30" t="s">
        <v>34</v>
      </c>
      <c r="E16" s="39">
        <v>2300000</v>
      </c>
      <c r="F16" s="40">
        <v>2300000</v>
      </c>
      <c r="G16" s="41">
        <v>44926</v>
      </c>
      <c r="H16" s="35">
        <v>0</v>
      </c>
      <c r="I16" s="35">
        <v>0</v>
      </c>
      <c r="J16" s="42">
        <v>0</v>
      </c>
      <c r="K16" s="42">
        <v>0</v>
      </c>
      <c r="L16" s="33">
        <v>0</v>
      </c>
      <c r="M16" s="30" t="s">
        <v>35</v>
      </c>
    </row>
    <row r="17" spans="1:13" s="29" customFormat="1" ht="390">
      <c r="A17" s="30">
        <v>303</v>
      </c>
      <c r="B17" s="43" t="s">
        <v>52</v>
      </c>
      <c r="C17" s="45" t="s">
        <v>53</v>
      </c>
      <c r="D17" s="30" t="s">
        <v>34</v>
      </c>
      <c r="E17" s="72">
        <v>3000000</v>
      </c>
      <c r="F17" s="39">
        <v>3000000</v>
      </c>
      <c r="G17" s="34">
        <v>43830</v>
      </c>
      <c r="H17" s="35">
        <v>0</v>
      </c>
      <c r="I17" s="35">
        <v>0</v>
      </c>
      <c r="J17" s="44">
        <v>0</v>
      </c>
      <c r="K17" s="44">
        <v>0</v>
      </c>
      <c r="L17" s="33">
        <v>0</v>
      </c>
      <c r="M17" s="30" t="s">
        <v>35</v>
      </c>
    </row>
    <row r="18" spans="1:13">
      <c r="A18" s="37">
        <v>303</v>
      </c>
      <c r="B18" s="48"/>
      <c r="C18" s="43"/>
      <c r="D18" s="30"/>
      <c r="E18" s="47"/>
      <c r="F18" s="49"/>
      <c r="G18" s="41"/>
      <c r="H18" s="35"/>
      <c r="I18" s="35"/>
      <c r="J18" s="42"/>
      <c r="K18" s="42"/>
      <c r="L18" s="33"/>
      <c r="M18" s="30" t="s">
        <v>35</v>
      </c>
    </row>
    <row r="19" spans="1:13">
      <c r="A19" s="37">
        <v>303</v>
      </c>
      <c r="B19" s="48"/>
      <c r="C19" s="50"/>
      <c r="D19" s="30"/>
      <c r="E19" s="47"/>
      <c r="F19" s="49"/>
      <c r="G19" s="41"/>
      <c r="H19" s="35"/>
      <c r="I19" s="35"/>
      <c r="J19" s="42"/>
      <c r="K19" s="42"/>
      <c r="L19" s="33"/>
      <c r="M19" s="30" t="s">
        <v>35</v>
      </c>
    </row>
    <row r="20" spans="1:13" ht="15.75" thickBot="1">
      <c r="A20" s="37">
        <v>303</v>
      </c>
      <c r="B20" s="48"/>
      <c r="C20" s="50"/>
      <c r="D20" s="30"/>
      <c r="E20" s="47"/>
      <c r="F20" s="49"/>
      <c r="G20" s="41"/>
      <c r="H20" s="35"/>
      <c r="I20" s="35"/>
      <c r="J20" s="42"/>
      <c r="K20" s="42"/>
      <c r="L20" s="33"/>
      <c r="M20" s="30" t="s">
        <v>35</v>
      </c>
    </row>
    <row r="21" spans="1:13" ht="16.5" thickTop="1" thickBot="1">
      <c r="A21" s="46">
        <v>303</v>
      </c>
      <c r="B21" s="43"/>
      <c r="C21" s="51"/>
      <c r="D21" s="30"/>
      <c r="E21" s="52"/>
      <c r="F21" s="40"/>
      <c r="G21" s="53"/>
      <c r="H21" s="35"/>
      <c r="I21" s="35"/>
      <c r="J21" s="42"/>
      <c r="K21" s="42"/>
      <c r="L21" s="33"/>
      <c r="M21" s="54"/>
    </row>
    <row r="22" spans="1:13" ht="15.75" thickTop="1">
      <c r="A22" s="37">
        <v>303</v>
      </c>
      <c r="B22" s="43"/>
      <c r="C22" s="51"/>
      <c r="D22" s="30"/>
      <c r="E22" s="47"/>
      <c r="F22" s="55"/>
      <c r="G22" s="56"/>
      <c r="H22" s="35"/>
      <c r="I22" s="35"/>
      <c r="J22" s="42"/>
      <c r="K22" s="42"/>
      <c r="L22" s="33"/>
      <c r="M22" s="54"/>
    </row>
    <row r="23" spans="1:13">
      <c r="A23" s="37">
        <v>303</v>
      </c>
      <c r="B23" s="43"/>
      <c r="C23" s="57"/>
      <c r="D23" s="58"/>
      <c r="E23" s="59"/>
      <c r="F23" s="60"/>
      <c r="G23" s="41"/>
      <c r="H23" s="35"/>
      <c r="I23" s="35"/>
      <c r="J23" s="42"/>
      <c r="K23" s="42"/>
      <c r="L23" s="33"/>
      <c r="M23" s="61"/>
    </row>
    <row r="24" spans="1:13">
      <c r="A24" s="37">
        <v>303</v>
      </c>
      <c r="B24" s="43"/>
      <c r="C24" s="57"/>
      <c r="D24" s="58"/>
      <c r="E24" s="59"/>
      <c r="F24" s="60"/>
      <c r="G24" s="41"/>
      <c r="H24" s="35"/>
      <c r="I24" s="35"/>
      <c r="J24" s="42"/>
      <c r="K24" s="42"/>
      <c r="L24" s="62"/>
      <c r="M24" s="61"/>
    </row>
    <row r="25" spans="1:13">
      <c r="A25" s="37">
        <v>303</v>
      </c>
      <c r="B25" s="48"/>
      <c r="C25" s="63"/>
      <c r="D25" s="58"/>
      <c r="E25" s="59"/>
      <c r="F25" s="59"/>
      <c r="G25" s="41"/>
      <c r="H25" s="35"/>
      <c r="I25" s="35"/>
      <c r="J25" s="42"/>
      <c r="K25" s="42"/>
      <c r="L25" s="62"/>
      <c r="M25" s="61"/>
    </row>
    <row r="26" spans="1:13">
      <c r="A26" s="37">
        <v>303</v>
      </c>
      <c r="B26" s="43"/>
      <c r="C26" s="57"/>
      <c r="D26" s="58"/>
      <c r="E26" s="59"/>
      <c r="F26" s="60"/>
      <c r="G26" s="41"/>
      <c r="H26" s="35"/>
      <c r="I26" s="35"/>
      <c r="J26" s="42"/>
      <c r="K26" s="42"/>
      <c r="L26" s="62"/>
      <c r="M26" s="61"/>
    </row>
    <row r="27" spans="1:13">
      <c r="A27" s="37">
        <v>303</v>
      </c>
      <c r="B27" s="43"/>
      <c r="C27" s="57"/>
      <c r="D27" s="58"/>
      <c r="E27" s="59"/>
      <c r="F27" s="60"/>
      <c r="G27" s="41"/>
      <c r="H27" s="35"/>
      <c r="I27" s="35"/>
      <c r="J27" s="42"/>
      <c r="K27" s="42"/>
      <c r="L27" s="62"/>
      <c r="M27" s="61"/>
    </row>
    <row r="28" spans="1:13">
      <c r="A28" s="37">
        <v>303</v>
      </c>
      <c r="B28" s="43"/>
      <c r="C28" s="57"/>
      <c r="D28" s="58"/>
      <c r="E28" s="59"/>
      <c r="F28" s="60"/>
      <c r="G28" s="41"/>
      <c r="H28" s="35"/>
      <c r="I28" s="35"/>
      <c r="J28" s="42"/>
      <c r="K28" s="42"/>
      <c r="L28" s="62"/>
      <c r="M28" s="61"/>
    </row>
    <row r="29" spans="1:13">
      <c r="A29" s="37">
        <v>303</v>
      </c>
      <c r="B29" s="43"/>
      <c r="C29" s="57"/>
      <c r="D29" s="58"/>
      <c r="E29" s="59"/>
      <c r="F29" s="60"/>
      <c r="G29" s="41"/>
      <c r="H29" s="35"/>
      <c r="I29" s="35"/>
      <c r="J29" s="42"/>
      <c r="K29" s="42"/>
      <c r="L29" s="62"/>
      <c r="M29" s="61"/>
    </row>
    <row r="30" spans="1:13">
      <c r="A30" s="37">
        <v>303</v>
      </c>
      <c r="B30" s="43"/>
      <c r="C30" s="57"/>
      <c r="D30" s="58"/>
      <c r="E30" s="59"/>
      <c r="F30" s="60"/>
      <c r="G30" s="41"/>
      <c r="H30" s="35"/>
      <c r="I30" s="35"/>
      <c r="J30" s="42"/>
      <c r="K30" s="42"/>
      <c r="L30" s="62"/>
      <c r="M30" s="61"/>
    </row>
    <row r="31" spans="1:13">
      <c r="A31" s="37">
        <v>303</v>
      </c>
      <c r="B31" s="43"/>
      <c r="C31" s="57"/>
      <c r="D31" s="58"/>
      <c r="E31" s="59"/>
      <c r="F31" s="60"/>
      <c r="G31" s="41"/>
      <c r="H31" s="35"/>
      <c r="I31" s="35"/>
      <c r="J31" s="42"/>
      <c r="K31" s="42"/>
      <c r="L31" s="62"/>
      <c r="M31" s="61"/>
    </row>
    <row r="32" spans="1:13" ht="15.75" thickBot="1">
      <c r="A32" s="37"/>
      <c r="B32" s="48"/>
      <c r="C32" s="63"/>
      <c r="D32" s="58"/>
      <c r="E32" s="59"/>
      <c r="F32" s="59"/>
      <c r="G32" s="41"/>
      <c r="H32" s="35"/>
      <c r="I32" s="35"/>
      <c r="J32" s="42"/>
      <c r="K32" s="42"/>
      <c r="L32" s="62"/>
      <c r="M32" s="61"/>
    </row>
    <row r="33" spans="1:13" ht="16.5" thickBot="1">
      <c r="A33" s="64"/>
      <c r="B33" s="65"/>
      <c r="C33" s="65"/>
      <c r="D33" s="66" t="s">
        <v>54</v>
      </c>
      <c r="E33" s="67">
        <f>SUM(E8:E32)</f>
        <v>90000000</v>
      </c>
      <c r="F33" s="68">
        <f>SUM(F8:F32)</f>
        <v>90000000</v>
      </c>
      <c r="G33" s="69"/>
      <c r="H33" s="70"/>
      <c r="I33" s="70"/>
      <c r="J33" s="67">
        <f>SUM(J8:J32)</f>
        <v>0</v>
      </c>
      <c r="K33" s="68">
        <f>SUM(K8:K32)</f>
        <v>0</v>
      </c>
      <c r="L33" s="71">
        <f t="shared" ref="L33" si="0">F33-J33-K33</f>
        <v>90000000</v>
      </c>
      <c r="M33" s="69"/>
    </row>
  </sheetData>
  <mergeCells count="16">
    <mergeCell ref="J5:J7"/>
    <mergeCell ref="K5:K7"/>
    <mergeCell ref="L5:L7"/>
    <mergeCell ref="M5:M7"/>
    <mergeCell ref="D5:D7"/>
    <mergeCell ref="E5:E7"/>
    <mergeCell ref="F5:F7"/>
    <mergeCell ref="G5:G7"/>
    <mergeCell ref="H5:H7"/>
    <mergeCell ref="I5:I7"/>
    <mergeCell ref="B1:C1"/>
    <mergeCell ref="B2:C2"/>
    <mergeCell ref="B3:C3"/>
    <mergeCell ref="A5:A7"/>
    <mergeCell ref="B5:B7"/>
    <mergeCell ref="C5:C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90"/>
  <sheetViews>
    <sheetView topLeftCell="A183" zoomScale="80" zoomScaleNormal="80" workbookViewId="0">
      <selection activeCell="E206" sqref="E206"/>
    </sheetView>
  </sheetViews>
  <sheetFormatPr defaultRowHeight="15"/>
  <cols>
    <col min="10" max="10" width="14.140625" customWidth="1"/>
    <col min="11" max="11" width="15.85546875" customWidth="1"/>
    <col min="12" max="12" width="16.140625" customWidth="1"/>
    <col min="13" max="13" width="21" customWidth="1"/>
    <col min="14" max="14" width="19.85546875" customWidth="1"/>
    <col min="15" max="15" width="15.5703125" customWidth="1"/>
    <col min="16" max="16" width="13.7109375" customWidth="1"/>
    <col min="17" max="17" width="16" customWidth="1"/>
    <col min="18" max="18" width="15" customWidth="1"/>
    <col min="19" max="19" width="14" customWidth="1"/>
    <col min="20" max="20" width="20.5703125" customWidth="1"/>
    <col min="21" max="21" width="12.5703125" customWidth="1"/>
  </cols>
  <sheetData>
    <row r="1" spans="1:21" ht="47.25" customHeight="1">
      <c r="A1" s="411"/>
      <c r="B1" s="412"/>
      <c r="C1" s="413"/>
      <c r="D1" s="413"/>
      <c r="E1" s="413"/>
      <c r="F1" s="413"/>
      <c r="G1" s="413"/>
      <c r="H1" s="413"/>
      <c r="I1" s="414" t="s">
        <v>830</v>
      </c>
      <c r="J1" s="591" t="s">
        <v>831</v>
      </c>
      <c r="K1" s="592"/>
      <c r="L1" s="593" t="s">
        <v>832</v>
      </c>
      <c r="M1" s="595"/>
      <c r="N1" s="415"/>
      <c r="O1" s="416"/>
      <c r="P1" s="417"/>
      <c r="Q1" s="417"/>
      <c r="R1" s="418"/>
      <c r="S1" s="418"/>
      <c r="T1" s="418"/>
      <c r="U1" s="419" t="s">
        <v>833</v>
      </c>
    </row>
    <row r="2" spans="1:21" ht="47.25" customHeight="1">
      <c r="A2" s="420"/>
      <c r="B2" s="421"/>
      <c r="C2" s="422"/>
      <c r="D2" s="422"/>
      <c r="E2" s="422"/>
      <c r="F2" s="422"/>
      <c r="G2" s="422"/>
      <c r="H2" s="422"/>
      <c r="I2" s="423" t="s">
        <v>19</v>
      </c>
      <c r="J2" s="597">
        <v>43024</v>
      </c>
      <c r="K2" s="597"/>
      <c r="L2" s="594"/>
      <c r="M2" s="596"/>
      <c r="N2" s="424"/>
      <c r="O2" s="421"/>
      <c r="P2" s="421"/>
      <c r="Q2" s="425"/>
      <c r="R2" s="426"/>
      <c r="S2" s="426"/>
      <c r="T2" s="426"/>
      <c r="U2" s="427"/>
    </row>
    <row r="3" spans="1:21" ht="47.25" customHeight="1">
      <c r="A3" s="598" t="s">
        <v>834</v>
      </c>
      <c r="B3" s="599"/>
      <c r="C3" s="599"/>
      <c r="D3" s="599"/>
      <c r="E3" s="599"/>
      <c r="F3" s="599"/>
      <c r="G3" s="599"/>
      <c r="H3" s="599"/>
      <c r="I3" s="423" t="s">
        <v>20</v>
      </c>
      <c r="J3" s="600" t="s">
        <v>835</v>
      </c>
      <c r="K3" s="601"/>
      <c r="L3" s="594"/>
      <c r="M3" s="596"/>
      <c r="N3" s="424"/>
      <c r="O3" s="421"/>
      <c r="P3" s="421"/>
      <c r="Q3" s="425"/>
      <c r="R3" s="426"/>
      <c r="S3" s="426"/>
      <c r="T3" s="426"/>
      <c r="U3" s="427"/>
    </row>
    <row r="4" spans="1:21" ht="47.25" customHeight="1">
      <c r="A4" s="428"/>
      <c r="B4" s="429"/>
      <c r="C4" s="430"/>
      <c r="D4" s="430"/>
      <c r="E4" s="430"/>
      <c r="F4" s="430"/>
      <c r="G4" s="430"/>
      <c r="H4" s="430"/>
      <c r="I4" s="431"/>
      <c r="J4" s="432"/>
      <c r="K4" s="433"/>
      <c r="L4" s="434"/>
      <c r="M4" s="435"/>
      <c r="N4" s="436"/>
      <c r="O4" s="437"/>
      <c r="P4" s="429"/>
      <c r="Q4" s="438"/>
      <c r="R4" s="439"/>
      <c r="S4" s="439"/>
      <c r="T4" s="439"/>
      <c r="U4" s="433"/>
    </row>
    <row r="5" spans="1:21" ht="15.75">
      <c r="A5" s="440"/>
      <c r="B5" s="441"/>
      <c r="C5" s="441"/>
      <c r="D5" s="441"/>
      <c r="E5" s="441"/>
      <c r="F5" s="441"/>
      <c r="G5" s="441"/>
      <c r="H5" s="441"/>
      <c r="I5" s="582" t="s">
        <v>22</v>
      </c>
      <c r="J5" s="584" t="s">
        <v>23</v>
      </c>
      <c r="K5" s="573" t="s">
        <v>24</v>
      </c>
      <c r="L5" s="585" t="s">
        <v>25</v>
      </c>
      <c r="M5" s="586" t="s">
        <v>836</v>
      </c>
      <c r="N5" s="588" t="s">
        <v>837</v>
      </c>
      <c r="O5" s="572" t="s">
        <v>26</v>
      </c>
      <c r="P5" s="575" t="s">
        <v>27</v>
      </c>
      <c r="Q5" s="578" t="s">
        <v>838</v>
      </c>
      <c r="R5" s="579" t="s">
        <v>13</v>
      </c>
      <c r="S5" s="579" t="s">
        <v>11</v>
      </c>
      <c r="T5" s="579" t="s">
        <v>9</v>
      </c>
      <c r="U5" s="566" t="s">
        <v>839</v>
      </c>
    </row>
    <row r="6" spans="1:21" ht="15.75">
      <c r="A6" s="440"/>
      <c r="B6" s="441"/>
      <c r="C6" s="441"/>
      <c r="D6" s="441"/>
      <c r="E6" s="441"/>
      <c r="F6" s="441"/>
      <c r="G6" s="441"/>
      <c r="H6" s="441"/>
      <c r="I6" s="583"/>
      <c r="J6" s="578"/>
      <c r="K6" s="573"/>
      <c r="L6" s="585"/>
      <c r="M6" s="587"/>
      <c r="N6" s="589"/>
      <c r="O6" s="573"/>
      <c r="P6" s="576"/>
      <c r="Q6" s="578"/>
      <c r="R6" s="580"/>
      <c r="S6" s="580"/>
      <c r="T6" s="580"/>
      <c r="U6" s="567"/>
    </row>
    <row r="7" spans="1:21" ht="63">
      <c r="A7" s="442" t="s">
        <v>840</v>
      </c>
      <c r="B7" s="443" t="s">
        <v>841</v>
      </c>
      <c r="C7" s="443" t="s">
        <v>842</v>
      </c>
      <c r="D7" s="443" t="s">
        <v>843</v>
      </c>
      <c r="E7" s="443" t="s">
        <v>844</v>
      </c>
      <c r="F7" s="443" t="s">
        <v>845</v>
      </c>
      <c r="G7" s="443" t="s">
        <v>846</v>
      </c>
      <c r="H7" s="443" t="s">
        <v>847</v>
      </c>
      <c r="I7" s="583"/>
      <c r="J7" s="578"/>
      <c r="K7" s="574"/>
      <c r="L7" s="585"/>
      <c r="M7" s="587"/>
      <c r="N7" s="590"/>
      <c r="O7" s="574"/>
      <c r="P7" s="577"/>
      <c r="Q7" s="578"/>
      <c r="R7" s="581"/>
      <c r="S7" s="581"/>
      <c r="T7" s="581"/>
      <c r="U7" s="568"/>
    </row>
    <row r="8" spans="1:21" ht="45">
      <c r="A8" s="444" t="s">
        <v>848</v>
      </c>
      <c r="B8" s="445"/>
      <c r="C8" s="446"/>
      <c r="D8" s="446"/>
      <c r="E8" s="446"/>
      <c r="F8" s="446"/>
      <c r="G8" s="446"/>
      <c r="H8" s="446"/>
      <c r="I8" s="447" t="s">
        <v>849</v>
      </c>
      <c r="J8" s="448" t="s">
        <v>850</v>
      </c>
      <c r="K8" s="449" t="s">
        <v>851</v>
      </c>
      <c r="L8" s="450" t="s">
        <v>852</v>
      </c>
      <c r="M8" s="451">
        <v>1600000</v>
      </c>
      <c r="N8" s="452">
        <f t="shared" ref="N8:N117" si="0">M8</f>
        <v>1600000</v>
      </c>
      <c r="O8" s="453" t="s">
        <v>101</v>
      </c>
      <c r="P8" s="454">
        <v>0</v>
      </c>
      <c r="Q8" s="455">
        <v>0</v>
      </c>
      <c r="R8" s="386">
        <v>0</v>
      </c>
      <c r="S8" s="386">
        <v>0</v>
      </c>
      <c r="T8" s="386">
        <f>N8</f>
        <v>1600000</v>
      </c>
      <c r="U8" s="456"/>
    </row>
    <row r="9" spans="1:21" ht="45">
      <c r="A9" s="444" t="s">
        <v>853</v>
      </c>
      <c r="B9" s="445"/>
      <c r="C9" s="446"/>
      <c r="D9" s="446"/>
      <c r="E9" s="446"/>
      <c r="F9" s="446"/>
      <c r="G9" s="446"/>
      <c r="H9" s="446"/>
      <c r="I9" s="447" t="s">
        <v>854</v>
      </c>
      <c r="J9" s="448" t="s">
        <v>855</v>
      </c>
      <c r="K9" s="449" t="s">
        <v>851</v>
      </c>
      <c r="L9" s="450" t="s">
        <v>852</v>
      </c>
      <c r="M9" s="451">
        <v>660000</v>
      </c>
      <c r="N9" s="452">
        <f t="shared" si="0"/>
        <v>660000</v>
      </c>
      <c r="O9" s="453" t="s">
        <v>101</v>
      </c>
      <c r="P9" s="454">
        <v>0</v>
      </c>
      <c r="Q9" s="455">
        <v>0</v>
      </c>
      <c r="R9" s="386">
        <v>0</v>
      </c>
      <c r="S9" s="386">
        <v>0</v>
      </c>
      <c r="T9" s="386">
        <f t="shared" ref="T9:T72" si="1">N9-R9-S9</f>
        <v>660000</v>
      </c>
      <c r="U9" s="456"/>
    </row>
    <row r="10" spans="1:21" ht="45">
      <c r="A10" s="444" t="s">
        <v>856</v>
      </c>
      <c r="B10" s="445"/>
      <c r="C10" s="446"/>
      <c r="D10" s="446"/>
      <c r="E10" s="446"/>
      <c r="F10" s="446"/>
      <c r="G10" s="446"/>
      <c r="H10" s="446"/>
      <c r="I10" s="447" t="s">
        <v>857</v>
      </c>
      <c r="J10" s="448" t="s">
        <v>858</v>
      </c>
      <c r="K10" s="449" t="s">
        <v>851</v>
      </c>
      <c r="L10" s="450" t="s">
        <v>852</v>
      </c>
      <c r="M10" s="451">
        <v>360000</v>
      </c>
      <c r="N10" s="452">
        <f t="shared" si="0"/>
        <v>360000</v>
      </c>
      <c r="O10" s="453" t="s">
        <v>101</v>
      </c>
      <c r="P10" s="454">
        <v>0</v>
      </c>
      <c r="Q10" s="455">
        <v>0</v>
      </c>
      <c r="R10" s="386">
        <v>0</v>
      </c>
      <c r="S10" s="386">
        <v>0</v>
      </c>
      <c r="T10" s="386">
        <f t="shared" si="1"/>
        <v>360000</v>
      </c>
      <c r="U10" s="456"/>
    </row>
    <row r="11" spans="1:21" ht="105">
      <c r="A11" s="444" t="s">
        <v>859</v>
      </c>
      <c r="B11" s="445"/>
      <c r="C11" s="446"/>
      <c r="D11" s="446"/>
      <c r="E11" s="446"/>
      <c r="F11" s="446"/>
      <c r="G11" s="446"/>
      <c r="H11" s="446"/>
      <c r="I11" s="447" t="s">
        <v>860</v>
      </c>
      <c r="J11" s="448" t="s">
        <v>861</v>
      </c>
      <c r="K11" s="449" t="s">
        <v>862</v>
      </c>
      <c r="L11" s="450" t="s">
        <v>852</v>
      </c>
      <c r="M11" s="451">
        <v>450000</v>
      </c>
      <c r="N11" s="452">
        <f t="shared" si="0"/>
        <v>450000</v>
      </c>
      <c r="O11" s="453" t="s">
        <v>101</v>
      </c>
      <c r="P11" s="454">
        <v>0</v>
      </c>
      <c r="Q11" s="455">
        <v>0</v>
      </c>
      <c r="R11" s="386">
        <v>0</v>
      </c>
      <c r="S11" s="386">
        <v>0</v>
      </c>
      <c r="T11" s="386">
        <f t="shared" si="1"/>
        <v>450000</v>
      </c>
      <c r="U11" s="456"/>
    </row>
    <row r="12" spans="1:21" ht="105">
      <c r="A12" s="444" t="s">
        <v>863</v>
      </c>
      <c r="B12" s="445"/>
      <c r="C12" s="446"/>
      <c r="D12" s="446"/>
      <c r="E12" s="446"/>
      <c r="F12" s="446"/>
      <c r="G12" s="446"/>
      <c r="H12" s="446"/>
      <c r="I12" s="447" t="s">
        <v>864</v>
      </c>
      <c r="J12" s="448" t="s">
        <v>861</v>
      </c>
      <c r="K12" s="449" t="s">
        <v>862</v>
      </c>
      <c r="L12" s="450" t="s">
        <v>852</v>
      </c>
      <c r="M12" s="451">
        <v>350000</v>
      </c>
      <c r="N12" s="452">
        <f t="shared" si="0"/>
        <v>350000</v>
      </c>
      <c r="O12" s="453" t="s">
        <v>101</v>
      </c>
      <c r="P12" s="454">
        <v>0</v>
      </c>
      <c r="Q12" s="455">
        <v>0</v>
      </c>
      <c r="R12" s="386">
        <v>0</v>
      </c>
      <c r="S12" s="386">
        <v>0</v>
      </c>
      <c r="T12" s="386">
        <f t="shared" si="1"/>
        <v>350000</v>
      </c>
      <c r="U12" s="456"/>
    </row>
    <row r="13" spans="1:21" ht="60">
      <c r="A13" s="444" t="s">
        <v>865</v>
      </c>
      <c r="B13" s="445"/>
      <c r="C13" s="446"/>
      <c r="D13" s="446"/>
      <c r="E13" s="446"/>
      <c r="F13" s="446"/>
      <c r="G13" s="446"/>
      <c r="H13" s="446"/>
      <c r="I13" s="447" t="s">
        <v>866</v>
      </c>
      <c r="J13" s="448" t="s">
        <v>867</v>
      </c>
      <c r="K13" s="449" t="s">
        <v>868</v>
      </c>
      <c r="L13" s="450" t="s">
        <v>852</v>
      </c>
      <c r="M13" s="451">
        <v>350000</v>
      </c>
      <c r="N13" s="452">
        <f t="shared" si="0"/>
        <v>350000</v>
      </c>
      <c r="O13" s="453" t="s">
        <v>101</v>
      </c>
      <c r="P13" s="454">
        <v>0</v>
      </c>
      <c r="Q13" s="455">
        <v>0</v>
      </c>
      <c r="R13" s="386">
        <v>0</v>
      </c>
      <c r="S13" s="386">
        <v>0</v>
      </c>
      <c r="T13" s="386">
        <f t="shared" si="1"/>
        <v>350000</v>
      </c>
      <c r="U13" s="456"/>
    </row>
    <row r="14" spans="1:21" ht="105">
      <c r="A14" s="444">
        <v>1</v>
      </c>
      <c r="B14" s="445"/>
      <c r="C14" s="446"/>
      <c r="D14" s="446"/>
      <c r="E14" s="446"/>
      <c r="F14" s="446"/>
      <c r="G14" s="446"/>
      <c r="H14" s="446"/>
      <c r="I14" s="447" t="s">
        <v>869</v>
      </c>
      <c r="J14" s="448" t="s">
        <v>870</v>
      </c>
      <c r="K14" s="449" t="s">
        <v>862</v>
      </c>
      <c r="L14" s="450" t="s">
        <v>852</v>
      </c>
      <c r="M14" s="451">
        <v>200000</v>
      </c>
      <c r="N14" s="452">
        <f t="shared" si="0"/>
        <v>200000</v>
      </c>
      <c r="O14" s="453" t="s">
        <v>101</v>
      </c>
      <c r="P14" s="454">
        <v>0</v>
      </c>
      <c r="Q14" s="455">
        <v>0</v>
      </c>
      <c r="R14" s="386">
        <v>0</v>
      </c>
      <c r="S14" s="386">
        <v>0</v>
      </c>
      <c r="T14" s="386">
        <f t="shared" si="1"/>
        <v>200000</v>
      </c>
      <c r="U14" s="456"/>
    </row>
    <row r="15" spans="1:21" ht="105">
      <c r="A15" s="444">
        <f>A14+1</f>
        <v>2</v>
      </c>
      <c r="B15" s="445"/>
      <c r="C15" s="446"/>
      <c r="D15" s="446"/>
      <c r="E15" s="446"/>
      <c r="F15" s="446"/>
      <c r="G15" s="446"/>
      <c r="H15" s="446"/>
      <c r="I15" s="447" t="s">
        <v>871</v>
      </c>
      <c r="J15" s="448" t="s">
        <v>872</v>
      </c>
      <c r="K15" s="449" t="s">
        <v>862</v>
      </c>
      <c r="L15" s="450" t="s">
        <v>852</v>
      </c>
      <c r="M15" s="451">
        <v>200000</v>
      </c>
      <c r="N15" s="452">
        <f>M15</f>
        <v>200000</v>
      </c>
      <c r="O15" s="453" t="s">
        <v>101</v>
      </c>
      <c r="P15" s="454">
        <v>0</v>
      </c>
      <c r="Q15" s="455">
        <v>0</v>
      </c>
      <c r="R15" s="386">
        <v>0</v>
      </c>
      <c r="S15" s="386">
        <v>0</v>
      </c>
      <c r="T15" s="386">
        <f t="shared" si="1"/>
        <v>200000</v>
      </c>
      <c r="U15" s="456"/>
    </row>
    <row r="16" spans="1:21" ht="45">
      <c r="A16" s="444">
        <f t="shared" ref="A16:A79" si="2">A15+1</f>
        <v>3</v>
      </c>
      <c r="B16" s="445"/>
      <c r="C16" s="446"/>
      <c r="D16" s="446"/>
      <c r="E16" s="446"/>
      <c r="F16" s="446"/>
      <c r="G16" s="446"/>
      <c r="H16" s="446"/>
      <c r="I16" s="447" t="s">
        <v>873</v>
      </c>
      <c r="J16" s="448" t="s">
        <v>874</v>
      </c>
      <c r="K16" s="449" t="s">
        <v>868</v>
      </c>
      <c r="L16" s="450" t="s">
        <v>852</v>
      </c>
      <c r="M16" s="451">
        <v>360000</v>
      </c>
      <c r="N16" s="452">
        <f t="shared" si="0"/>
        <v>360000</v>
      </c>
      <c r="O16" s="453" t="s">
        <v>101</v>
      </c>
      <c r="P16" s="454">
        <v>0</v>
      </c>
      <c r="Q16" s="455">
        <v>0</v>
      </c>
      <c r="R16" s="386">
        <v>0</v>
      </c>
      <c r="S16" s="386">
        <v>0</v>
      </c>
      <c r="T16" s="386">
        <f t="shared" si="1"/>
        <v>360000</v>
      </c>
      <c r="U16" s="456"/>
    </row>
    <row r="17" spans="1:21" ht="45">
      <c r="A17" s="444">
        <f t="shared" si="2"/>
        <v>4</v>
      </c>
      <c r="B17" s="445"/>
      <c r="C17" s="446"/>
      <c r="D17" s="446"/>
      <c r="E17" s="446"/>
      <c r="F17" s="446"/>
      <c r="G17" s="446"/>
      <c r="H17" s="446"/>
      <c r="I17" s="447" t="s">
        <v>875</v>
      </c>
      <c r="J17" s="448" t="s">
        <v>874</v>
      </c>
      <c r="K17" s="449" t="s">
        <v>868</v>
      </c>
      <c r="L17" s="450" t="s">
        <v>852</v>
      </c>
      <c r="M17" s="451">
        <v>240000</v>
      </c>
      <c r="N17" s="452">
        <f>M17</f>
        <v>240000</v>
      </c>
      <c r="O17" s="453" t="s">
        <v>101</v>
      </c>
      <c r="P17" s="454">
        <v>0</v>
      </c>
      <c r="Q17" s="455">
        <v>0</v>
      </c>
      <c r="R17" s="386">
        <v>0</v>
      </c>
      <c r="S17" s="386">
        <v>0</v>
      </c>
      <c r="T17" s="386">
        <f t="shared" si="1"/>
        <v>240000</v>
      </c>
      <c r="U17" s="456"/>
    </row>
    <row r="18" spans="1:21" ht="45">
      <c r="A18" s="444">
        <f t="shared" si="2"/>
        <v>5</v>
      </c>
      <c r="B18" s="445"/>
      <c r="C18" s="446"/>
      <c r="D18" s="446"/>
      <c r="E18" s="446"/>
      <c r="F18" s="446"/>
      <c r="G18" s="446"/>
      <c r="H18" s="446"/>
      <c r="I18" s="447" t="s">
        <v>876</v>
      </c>
      <c r="J18" s="448" t="s">
        <v>874</v>
      </c>
      <c r="K18" s="449" t="s">
        <v>868</v>
      </c>
      <c r="L18" s="450" t="s">
        <v>852</v>
      </c>
      <c r="M18" s="451">
        <v>120000</v>
      </c>
      <c r="N18" s="452">
        <f>M18</f>
        <v>120000</v>
      </c>
      <c r="O18" s="453" t="s">
        <v>101</v>
      </c>
      <c r="P18" s="454">
        <v>0</v>
      </c>
      <c r="Q18" s="455">
        <v>0</v>
      </c>
      <c r="R18" s="386">
        <v>0</v>
      </c>
      <c r="S18" s="386">
        <v>0</v>
      </c>
      <c r="T18" s="386">
        <f t="shared" si="1"/>
        <v>120000</v>
      </c>
      <c r="U18" s="456"/>
    </row>
    <row r="19" spans="1:21" ht="105">
      <c r="A19" s="444">
        <f t="shared" si="2"/>
        <v>6</v>
      </c>
      <c r="B19" s="445"/>
      <c r="C19" s="446"/>
      <c r="D19" s="446"/>
      <c r="E19" s="446"/>
      <c r="F19" s="446"/>
      <c r="G19" s="446"/>
      <c r="H19" s="446"/>
      <c r="I19" s="447" t="s">
        <v>877</v>
      </c>
      <c r="J19" s="448" t="s">
        <v>878</v>
      </c>
      <c r="K19" s="449" t="s">
        <v>862</v>
      </c>
      <c r="L19" s="450" t="s">
        <v>852</v>
      </c>
      <c r="M19" s="451">
        <v>116667</v>
      </c>
      <c r="N19" s="452">
        <f t="shared" si="0"/>
        <v>116667</v>
      </c>
      <c r="O19" s="453" t="s">
        <v>101</v>
      </c>
      <c r="P19" s="454">
        <v>0</v>
      </c>
      <c r="Q19" s="455">
        <v>0</v>
      </c>
      <c r="R19" s="386">
        <v>0</v>
      </c>
      <c r="S19" s="386">
        <v>0</v>
      </c>
      <c r="T19" s="386">
        <f t="shared" si="1"/>
        <v>116667</v>
      </c>
      <c r="U19" s="456"/>
    </row>
    <row r="20" spans="1:21" ht="120">
      <c r="A20" s="444">
        <f t="shared" si="2"/>
        <v>7</v>
      </c>
      <c r="B20" s="445"/>
      <c r="C20" s="446"/>
      <c r="D20" s="446"/>
      <c r="E20" s="446"/>
      <c r="F20" s="446"/>
      <c r="G20" s="446"/>
      <c r="H20" s="446"/>
      <c r="I20" s="447" t="s">
        <v>879</v>
      </c>
      <c r="J20" s="448" t="s">
        <v>880</v>
      </c>
      <c r="K20" s="449" t="s">
        <v>862</v>
      </c>
      <c r="L20" s="450" t="s">
        <v>852</v>
      </c>
      <c r="M20" s="451">
        <v>116667</v>
      </c>
      <c r="N20" s="452">
        <f>M20</f>
        <v>116667</v>
      </c>
      <c r="O20" s="453" t="s">
        <v>101</v>
      </c>
      <c r="P20" s="454">
        <v>0</v>
      </c>
      <c r="Q20" s="455">
        <v>0</v>
      </c>
      <c r="R20" s="386">
        <v>0</v>
      </c>
      <c r="S20" s="386">
        <v>0</v>
      </c>
      <c r="T20" s="386">
        <f t="shared" si="1"/>
        <v>116667</v>
      </c>
      <c r="U20" s="456"/>
    </row>
    <row r="21" spans="1:21" ht="120">
      <c r="A21" s="444">
        <f t="shared" si="2"/>
        <v>8</v>
      </c>
      <c r="B21" s="445"/>
      <c r="C21" s="446"/>
      <c r="D21" s="446"/>
      <c r="E21" s="446"/>
      <c r="F21" s="446"/>
      <c r="G21" s="446"/>
      <c r="H21" s="446"/>
      <c r="I21" s="447" t="s">
        <v>881</v>
      </c>
      <c r="J21" s="448" t="s">
        <v>882</v>
      </c>
      <c r="K21" s="449" t="s">
        <v>862</v>
      </c>
      <c r="L21" s="450" t="s">
        <v>852</v>
      </c>
      <c r="M21" s="451">
        <v>116667</v>
      </c>
      <c r="N21" s="452">
        <f>M21</f>
        <v>116667</v>
      </c>
      <c r="O21" s="453" t="s">
        <v>101</v>
      </c>
      <c r="P21" s="454">
        <v>0</v>
      </c>
      <c r="Q21" s="455">
        <v>0</v>
      </c>
      <c r="R21" s="386">
        <v>0</v>
      </c>
      <c r="S21" s="386">
        <v>0</v>
      </c>
      <c r="T21" s="386">
        <f t="shared" si="1"/>
        <v>116667</v>
      </c>
      <c r="U21" s="456"/>
    </row>
    <row r="22" spans="1:21" ht="105">
      <c r="A22" s="444">
        <f t="shared" si="2"/>
        <v>9</v>
      </c>
      <c r="B22" s="445"/>
      <c r="C22" s="446"/>
      <c r="D22" s="446"/>
      <c r="E22" s="446"/>
      <c r="F22" s="446"/>
      <c r="G22" s="446"/>
      <c r="H22" s="446"/>
      <c r="I22" s="447" t="s">
        <v>883</v>
      </c>
      <c r="J22" s="448" t="s">
        <v>884</v>
      </c>
      <c r="K22" s="449" t="s">
        <v>862</v>
      </c>
      <c r="L22" s="450" t="s">
        <v>852</v>
      </c>
      <c r="M22" s="451">
        <v>116667</v>
      </c>
      <c r="N22" s="452">
        <f>M22</f>
        <v>116667</v>
      </c>
      <c r="O22" s="453" t="s">
        <v>101</v>
      </c>
      <c r="P22" s="454">
        <v>0</v>
      </c>
      <c r="Q22" s="455">
        <v>0</v>
      </c>
      <c r="R22" s="386">
        <v>0</v>
      </c>
      <c r="S22" s="386">
        <v>0</v>
      </c>
      <c r="T22" s="386">
        <f t="shared" si="1"/>
        <v>116667</v>
      </c>
      <c r="U22" s="456"/>
    </row>
    <row r="23" spans="1:21" ht="105">
      <c r="A23" s="444">
        <f t="shared" si="2"/>
        <v>10</v>
      </c>
      <c r="B23" s="445"/>
      <c r="C23" s="446"/>
      <c r="D23" s="446"/>
      <c r="E23" s="446"/>
      <c r="F23" s="446"/>
      <c r="G23" s="446"/>
      <c r="H23" s="446"/>
      <c r="I23" s="447" t="s">
        <v>885</v>
      </c>
      <c r="J23" s="448" t="s">
        <v>886</v>
      </c>
      <c r="K23" s="449" t="s">
        <v>862</v>
      </c>
      <c r="L23" s="450" t="s">
        <v>852</v>
      </c>
      <c r="M23" s="451">
        <v>116667</v>
      </c>
      <c r="N23" s="452">
        <f>M23</f>
        <v>116667</v>
      </c>
      <c r="O23" s="453" t="s">
        <v>101</v>
      </c>
      <c r="P23" s="454">
        <v>0</v>
      </c>
      <c r="Q23" s="455">
        <v>0</v>
      </c>
      <c r="R23" s="386">
        <v>0</v>
      </c>
      <c r="S23" s="386">
        <v>0</v>
      </c>
      <c r="T23" s="386">
        <f t="shared" si="1"/>
        <v>116667</v>
      </c>
      <c r="U23" s="456"/>
    </row>
    <row r="24" spans="1:21" ht="105">
      <c r="A24" s="444">
        <f t="shared" si="2"/>
        <v>11</v>
      </c>
      <c r="B24" s="445"/>
      <c r="C24" s="446"/>
      <c r="D24" s="446"/>
      <c r="E24" s="446"/>
      <c r="F24" s="446"/>
      <c r="G24" s="446"/>
      <c r="H24" s="446"/>
      <c r="I24" s="447" t="s">
        <v>887</v>
      </c>
      <c r="J24" s="448" t="s">
        <v>888</v>
      </c>
      <c r="K24" s="449" t="s">
        <v>862</v>
      </c>
      <c r="L24" s="450" t="s">
        <v>852</v>
      </c>
      <c r="M24" s="451">
        <v>116667</v>
      </c>
      <c r="N24" s="452">
        <f>M24</f>
        <v>116667</v>
      </c>
      <c r="O24" s="453" t="s">
        <v>101</v>
      </c>
      <c r="P24" s="454">
        <v>0</v>
      </c>
      <c r="Q24" s="455">
        <v>0</v>
      </c>
      <c r="R24" s="386">
        <v>0</v>
      </c>
      <c r="S24" s="386">
        <v>0</v>
      </c>
      <c r="T24" s="386">
        <f t="shared" si="1"/>
        <v>116667</v>
      </c>
      <c r="U24" s="456"/>
    </row>
    <row r="25" spans="1:21" ht="105">
      <c r="A25" s="444">
        <f t="shared" si="2"/>
        <v>12</v>
      </c>
      <c r="B25" s="445"/>
      <c r="C25" s="446"/>
      <c r="D25" s="446"/>
      <c r="E25" s="446"/>
      <c r="F25" s="446"/>
      <c r="G25" s="446"/>
      <c r="H25" s="446"/>
      <c r="I25" s="447" t="s">
        <v>889</v>
      </c>
      <c r="J25" s="448" t="s">
        <v>890</v>
      </c>
      <c r="K25" s="449" t="s">
        <v>862</v>
      </c>
      <c r="L25" s="450" t="s">
        <v>852</v>
      </c>
      <c r="M25" s="451">
        <v>107520</v>
      </c>
      <c r="N25" s="452">
        <f t="shared" si="0"/>
        <v>107520</v>
      </c>
      <c r="O25" s="453" t="s">
        <v>101</v>
      </c>
      <c r="P25" s="454">
        <v>0</v>
      </c>
      <c r="Q25" s="455">
        <v>0</v>
      </c>
      <c r="R25" s="386">
        <v>0</v>
      </c>
      <c r="S25" s="386">
        <v>0</v>
      </c>
      <c r="T25" s="386">
        <f t="shared" si="1"/>
        <v>107520</v>
      </c>
      <c r="U25" s="456"/>
    </row>
    <row r="26" spans="1:21" ht="105">
      <c r="A26" s="444">
        <f t="shared" si="2"/>
        <v>13</v>
      </c>
      <c r="B26" s="445"/>
      <c r="C26" s="446"/>
      <c r="D26" s="446"/>
      <c r="E26" s="446"/>
      <c r="F26" s="446"/>
      <c r="G26" s="446"/>
      <c r="H26" s="446"/>
      <c r="I26" s="447" t="s">
        <v>891</v>
      </c>
      <c r="J26" s="448" t="s">
        <v>892</v>
      </c>
      <c r="K26" s="449" t="s">
        <v>862</v>
      </c>
      <c r="L26" s="450" t="s">
        <v>852</v>
      </c>
      <c r="M26" s="451">
        <v>107520</v>
      </c>
      <c r="N26" s="452">
        <f>M26</f>
        <v>107520</v>
      </c>
      <c r="O26" s="453" t="s">
        <v>101</v>
      </c>
      <c r="P26" s="454">
        <v>0</v>
      </c>
      <c r="Q26" s="455">
        <v>0</v>
      </c>
      <c r="R26" s="386">
        <v>0</v>
      </c>
      <c r="S26" s="386">
        <v>0</v>
      </c>
      <c r="T26" s="386">
        <f t="shared" si="1"/>
        <v>107520</v>
      </c>
      <c r="U26" s="456"/>
    </row>
    <row r="27" spans="1:21" ht="105">
      <c r="A27" s="444">
        <f t="shared" si="2"/>
        <v>14</v>
      </c>
      <c r="B27" s="445"/>
      <c r="C27" s="446"/>
      <c r="D27" s="446"/>
      <c r="E27" s="446"/>
      <c r="F27" s="446"/>
      <c r="G27" s="446"/>
      <c r="H27" s="446"/>
      <c r="I27" s="447" t="s">
        <v>893</v>
      </c>
      <c r="J27" s="448" t="s">
        <v>894</v>
      </c>
      <c r="K27" s="449" t="s">
        <v>862</v>
      </c>
      <c r="L27" s="450" t="s">
        <v>852</v>
      </c>
      <c r="M27" s="451">
        <v>107520</v>
      </c>
      <c r="N27" s="452">
        <f>M27</f>
        <v>107520</v>
      </c>
      <c r="O27" s="453" t="s">
        <v>101</v>
      </c>
      <c r="P27" s="454">
        <v>0</v>
      </c>
      <c r="Q27" s="455">
        <v>0</v>
      </c>
      <c r="R27" s="386">
        <v>0</v>
      </c>
      <c r="S27" s="386">
        <v>0</v>
      </c>
      <c r="T27" s="386">
        <f t="shared" si="1"/>
        <v>107520</v>
      </c>
      <c r="U27" s="456"/>
    </row>
    <row r="28" spans="1:21" ht="105">
      <c r="A28" s="444">
        <f t="shared" si="2"/>
        <v>15</v>
      </c>
      <c r="B28" s="445"/>
      <c r="C28" s="446"/>
      <c r="D28" s="446"/>
      <c r="E28" s="446"/>
      <c r="F28" s="446"/>
      <c r="G28" s="446"/>
      <c r="H28" s="446"/>
      <c r="I28" s="447" t="s">
        <v>895</v>
      </c>
      <c r="J28" s="448" t="s">
        <v>896</v>
      </c>
      <c r="K28" s="449" t="s">
        <v>862</v>
      </c>
      <c r="L28" s="450" t="s">
        <v>852</v>
      </c>
      <c r="M28" s="451">
        <v>107520</v>
      </c>
      <c r="N28" s="452">
        <f>M28</f>
        <v>107520</v>
      </c>
      <c r="O28" s="453" t="s">
        <v>101</v>
      </c>
      <c r="P28" s="454">
        <v>0</v>
      </c>
      <c r="Q28" s="455">
        <v>0</v>
      </c>
      <c r="R28" s="386">
        <v>0</v>
      </c>
      <c r="S28" s="386">
        <v>0</v>
      </c>
      <c r="T28" s="386">
        <f t="shared" si="1"/>
        <v>107520</v>
      </c>
      <c r="U28" s="456"/>
    </row>
    <row r="29" spans="1:21" ht="105">
      <c r="A29" s="444">
        <f t="shared" si="2"/>
        <v>16</v>
      </c>
      <c r="B29" s="445"/>
      <c r="C29" s="446"/>
      <c r="D29" s="446"/>
      <c r="E29" s="446"/>
      <c r="F29" s="446"/>
      <c r="G29" s="446"/>
      <c r="H29" s="446"/>
      <c r="I29" s="447" t="s">
        <v>897</v>
      </c>
      <c r="J29" s="448" t="s">
        <v>898</v>
      </c>
      <c r="K29" s="449" t="s">
        <v>862</v>
      </c>
      <c r="L29" s="450" t="s">
        <v>852</v>
      </c>
      <c r="M29" s="451">
        <v>107520</v>
      </c>
      <c r="N29" s="452">
        <f>M29</f>
        <v>107520</v>
      </c>
      <c r="O29" s="453" t="s">
        <v>101</v>
      </c>
      <c r="P29" s="454">
        <v>0</v>
      </c>
      <c r="Q29" s="455">
        <v>0</v>
      </c>
      <c r="R29" s="386">
        <v>0</v>
      </c>
      <c r="S29" s="386">
        <v>0</v>
      </c>
      <c r="T29" s="386">
        <f t="shared" si="1"/>
        <v>107520</v>
      </c>
      <c r="U29" s="456"/>
    </row>
    <row r="30" spans="1:21" ht="75">
      <c r="A30" s="444">
        <f t="shared" si="2"/>
        <v>17</v>
      </c>
      <c r="B30" s="445"/>
      <c r="C30" s="446"/>
      <c r="D30" s="446"/>
      <c r="E30" s="446"/>
      <c r="F30" s="446"/>
      <c r="G30" s="446"/>
      <c r="H30" s="446"/>
      <c r="I30" s="447" t="s">
        <v>899</v>
      </c>
      <c r="J30" s="448" t="s">
        <v>900</v>
      </c>
      <c r="K30" s="449" t="s">
        <v>901</v>
      </c>
      <c r="L30" s="450" t="s">
        <v>852</v>
      </c>
      <c r="M30" s="451">
        <v>180000</v>
      </c>
      <c r="N30" s="452">
        <f t="shared" si="0"/>
        <v>180000</v>
      </c>
      <c r="O30" s="453" t="s">
        <v>101</v>
      </c>
      <c r="P30" s="454">
        <v>0</v>
      </c>
      <c r="Q30" s="455">
        <v>0</v>
      </c>
      <c r="R30" s="386">
        <v>0</v>
      </c>
      <c r="S30" s="386">
        <v>0</v>
      </c>
      <c r="T30" s="386">
        <f t="shared" si="1"/>
        <v>180000</v>
      </c>
      <c r="U30" s="456"/>
    </row>
    <row r="31" spans="1:21" ht="105">
      <c r="A31" s="444">
        <f t="shared" si="2"/>
        <v>18</v>
      </c>
      <c r="B31" s="445"/>
      <c r="C31" s="446"/>
      <c r="D31" s="446"/>
      <c r="E31" s="446"/>
      <c r="F31" s="446"/>
      <c r="G31" s="446"/>
      <c r="H31" s="446"/>
      <c r="I31" s="447" t="s">
        <v>902</v>
      </c>
      <c r="J31" s="448" t="s">
        <v>903</v>
      </c>
      <c r="K31" s="449" t="s">
        <v>862</v>
      </c>
      <c r="L31" s="450" t="s">
        <v>852</v>
      </c>
      <c r="M31" s="451">
        <v>134400</v>
      </c>
      <c r="N31" s="452">
        <f t="shared" si="0"/>
        <v>134400</v>
      </c>
      <c r="O31" s="453" t="s">
        <v>101</v>
      </c>
      <c r="P31" s="454">
        <v>0</v>
      </c>
      <c r="Q31" s="455">
        <v>0</v>
      </c>
      <c r="R31" s="386">
        <v>0</v>
      </c>
      <c r="S31" s="386">
        <v>0</v>
      </c>
      <c r="T31" s="386">
        <f t="shared" si="1"/>
        <v>134400</v>
      </c>
      <c r="U31" s="456"/>
    </row>
    <row r="32" spans="1:21" ht="120">
      <c r="A32" s="444">
        <f t="shared" si="2"/>
        <v>19</v>
      </c>
      <c r="B32" s="445"/>
      <c r="C32" s="446"/>
      <c r="D32" s="446"/>
      <c r="E32" s="446"/>
      <c r="F32" s="446"/>
      <c r="G32" s="446"/>
      <c r="H32" s="446"/>
      <c r="I32" s="447" t="s">
        <v>904</v>
      </c>
      <c r="J32" s="448" t="s">
        <v>905</v>
      </c>
      <c r="K32" s="449" t="s">
        <v>862</v>
      </c>
      <c r="L32" s="450" t="s">
        <v>852</v>
      </c>
      <c r="M32" s="451">
        <v>134400</v>
      </c>
      <c r="N32" s="452">
        <f t="shared" si="0"/>
        <v>134400</v>
      </c>
      <c r="O32" s="453" t="s">
        <v>101</v>
      </c>
      <c r="P32" s="454">
        <v>0</v>
      </c>
      <c r="Q32" s="455">
        <v>0</v>
      </c>
      <c r="R32" s="386">
        <v>0</v>
      </c>
      <c r="S32" s="386">
        <v>0</v>
      </c>
      <c r="T32" s="386">
        <f t="shared" si="1"/>
        <v>134400</v>
      </c>
      <c r="U32" s="456"/>
    </row>
    <row r="33" spans="1:21" ht="120">
      <c r="A33" s="444">
        <f t="shared" si="2"/>
        <v>20</v>
      </c>
      <c r="B33" s="445"/>
      <c r="C33" s="446"/>
      <c r="D33" s="446"/>
      <c r="E33" s="446"/>
      <c r="F33" s="446"/>
      <c r="G33" s="446"/>
      <c r="H33" s="446"/>
      <c r="I33" s="447" t="s">
        <v>906</v>
      </c>
      <c r="J33" s="448" t="s">
        <v>907</v>
      </c>
      <c r="K33" s="449" t="s">
        <v>862</v>
      </c>
      <c r="L33" s="450" t="s">
        <v>852</v>
      </c>
      <c r="M33" s="451">
        <v>134400</v>
      </c>
      <c r="N33" s="452">
        <f t="shared" si="0"/>
        <v>134400</v>
      </c>
      <c r="O33" s="453" t="s">
        <v>101</v>
      </c>
      <c r="P33" s="454">
        <v>0</v>
      </c>
      <c r="Q33" s="455">
        <v>0</v>
      </c>
      <c r="R33" s="386">
        <v>0</v>
      </c>
      <c r="S33" s="386">
        <v>0</v>
      </c>
      <c r="T33" s="386">
        <f t="shared" si="1"/>
        <v>134400</v>
      </c>
      <c r="U33" s="456"/>
    </row>
    <row r="34" spans="1:21" ht="120">
      <c r="A34" s="444">
        <f t="shared" si="2"/>
        <v>21</v>
      </c>
      <c r="B34" s="445"/>
      <c r="C34" s="446"/>
      <c r="D34" s="446"/>
      <c r="E34" s="446"/>
      <c r="F34" s="446"/>
      <c r="G34" s="446"/>
      <c r="H34" s="446"/>
      <c r="I34" s="447" t="s">
        <v>908</v>
      </c>
      <c r="J34" s="448" t="s">
        <v>909</v>
      </c>
      <c r="K34" s="449" t="s">
        <v>862</v>
      </c>
      <c r="L34" s="450" t="s">
        <v>852</v>
      </c>
      <c r="M34" s="451">
        <v>134400</v>
      </c>
      <c r="N34" s="452">
        <f t="shared" si="0"/>
        <v>134400</v>
      </c>
      <c r="O34" s="453" t="s">
        <v>101</v>
      </c>
      <c r="P34" s="454">
        <v>0</v>
      </c>
      <c r="Q34" s="455">
        <v>0</v>
      </c>
      <c r="R34" s="386">
        <v>0</v>
      </c>
      <c r="S34" s="386">
        <v>0</v>
      </c>
      <c r="T34" s="386">
        <f t="shared" si="1"/>
        <v>134400</v>
      </c>
      <c r="U34" s="456"/>
    </row>
    <row r="35" spans="1:21" ht="105">
      <c r="A35" s="444">
        <f t="shared" si="2"/>
        <v>22</v>
      </c>
      <c r="B35" s="445"/>
      <c r="C35" s="446"/>
      <c r="D35" s="446"/>
      <c r="E35" s="446"/>
      <c r="F35" s="446"/>
      <c r="G35" s="446"/>
      <c r="H35" s="446"/>
      <c r="I35" s="447" t="s">
        <v>910</v>
      </c>
      <c r="J35" s="448" t="s">
        <v>911</v>
      </c>
      <c r="K35" s="449" t="s">
        <v>862</v>
      </c>
      <c r="L35" s="450" t="s">
        <v>852</v>
      </c>
      <c r="M35" s="451">
        <v>134400</v>
      </c>
      <c r="N35" s="452">
        <f t="shared" si="0"/>
        <v>134400</v>
      </c>
      <c r="O35" s="453" t="s">
        <v>101</v>
      </c>
      <c r="P35" s="454">
        <v>0</v>
      </c>
      <c r="Q35" s="455">
        <v>0</v>
      </c>
      <c r="R35" s="386">
        <v>0</v>
      </c>
      <c r="S35" s="386">
        <v>0</v>
      </c>
      <c r="T35" s="386">
        <f t="shared" si="1"/>
        <v>134400</v>
      </c>
      <c r="U35" s="456"/>
    </row>
    <row r="36" spans="1:21" ht="105">
      <c r="A36" s="444">
        <f t="shared" si="2"/>
        <v>23</v>
      </c>
      <c r="B36" s="445"/>
      <c r="C36" s="446"/>
      <c r="D36" s="446"/>
      <c r="E36" s="446"/>
      <c r="F36" s="446"/>
      <c r="G36" s="446"/>
      <c r="H36" s="446"/>
      <c r="I36" s="447" t="s">
        <v>912</v>
      </c>
      <c r="J36" s="448" t="s">
        <v>913</v>
      </c>
      <c r="K36" s="449" t="s">
        <v>862</v>
      </c>
      <c r="L36" s="450" t="s">
        <v>852</v>
      </c>
      <c r="M36" s="451">
        <v>134400</v>
      </c>
      <c r="N36" s="452">
        <f t="shared" si="0"/>
        <v>134400</v>
      </c>
      <c r="O36" s="453" t="s">
        <v>101</v>
      </c>
      <c r="P36" s="454">
        <v>0</v>
      </c>
      <c r="Q36" s="455">
        <v>0</v>
      </c>
      <c r="R36" s="386">
        <v>0</v>
      </c>
      <c r="S36" s="386">
        <v>0</v>
      </c>
      <c r="T36" s="386">
        <f t="shared" si="1"/>
        <v>134400</v>
      </c>
      <c r="U36" s="456"/>
    </row>
    <row r="37" spans="1:21" ht="105">
      <c r="A37" s="444">
        <f t="shared" si="2"/>
        <v>24</v>
      </c>
      <c r="B37" s="445"/>
      <c r="C37" s="446"/>
      <c r="D37" s="446"/>
      <c r="E37" s="446"/>
      <c r="F37" s="446"/>
      <c r="G37" s="446"/>
      <c r="H37" s="446"/>
      <c r="I37" s="447" t="s">
        <v>914</v>
      </c>
      <c r="J37" s="448" t="s">
        <v>915</v>
      </c>
      <c r="K37" s="449" t="s">
        <v>862</v>
      </c>
      <c r="L37" s="450" t="s">
        <v>852</v>
      </c>
      <c r="M37" s="451">
        <v>134400</v>
      </c>
      <c r="N37" s="452">
        <f t="shared" si="0"/>
        <v>134400</v>
      </c>
      <c r="O37" s="453" t="s">
        <v>101</v>
      </c>
      <c r="P37" s="454">
        <v>0</v>
      </c>
      <c r="Q37" s="455">
        <v>0</v>
      </c>
      <c r="R37" s="386">
        <v>0</v>
      </c>
      <c r="S37" s="386">
        <v>0</v>
      </c>
      <c r="T37" s="386">
        <f t="shared" si="1"/>
        <v>134400</v>
      </c>
      <c r="U37" s="456"/>
    </row>
    <row r="38" spans="1:21" ht="105">
      <c r="A38" s="444">
        <f t="shared" si="2"/>
        <v>25</v>
      </c>
      <c r="B38" s="445"/>
      <c r="C38" s="446"/>
      <c r="D38" s="446"/>
      <c r="E38" s="446"/>
      <c r="F38" s="446"/>
      <c r="G38" s="446"/>
      <c r="H38" s="446"/>
      <c r="I38" s="447" t="s">
        <v>916</v>
      </c>
      <c r="J38" s="448" t="s">
        <v>917</v>
      </c>
      <c r="K38" s="449" t="s">
        <v>862</v>
      </c>
      <c r="L38" s="450" t="s">
        <v>852</v>
      </c>
      <c r="M38" s="451">
        <v>138240</v>
      </c>
      <c r="N38" s="452">
        <f t="shared" si="0"/>
        <v>138240</v>
      </c>
      <c r="O38" s="453" t="s">
        <v>101</v>
      </c>
      <c r="P38" s="454">
        <v>0</v>
      </c>
      <c r="Q38" s="455">
        <v>0</v>
      </c>
      <c r="R38" s="386">
        <v>0</v>
      </c>
      <c r="S38" s="386">
        <v>0</v>
      </c>
      <c r="T38" s="386">
        <f t="shared" si="1"/>
        <v>138240</v>
      </c>
      <c r="U38" s="456"/>
    </row>
    <row r="39" spans="1:21" ht="105">
      <c r="A39" s="444">
        <f t="shared" si="2"/>
        <v>26</v>
      </c>
      <c r="B39" s="445"/>
      <c r="C39" s="446"/>
      <c r="D39" s="446"/>
      <c r="E39" s="446"/>
      <c r="F39" s="446"/>
      <c r="G39" s="446"/>
      <c r="H39" s="446"/>
      <c r="I39" s="447" t="s">
        <v>918</v>
      </c>
      <c r="J39" s="448" t="s">
        <v>919</v>
      </c>
      <c r="K39" s="449" t="s">
        <v>862</v>
      </c>
      <c r="L39" s="450" t="s">
        <v>852</v>
      </c>
      <c r="M39" s="451">
        <v>138240</v>
      </c>
      <c r="N39" s="452">
        <f t="shared" si="0"/>
        <v>138240</v>
      </c>
      <c r="O39" s="453" t="s">
        <v>101</v>
      </c>
      <c r="P39" s="454">
        <v>0</v>
      </c>
      <c r="Q39" s="455">
        <v>0</v>
      </c>
      <c r="R39" s="386">
        <v>0</v>
      </c>
      <c r="S39" s="386">
        <v>0</v>
      </c>
      <c r="T39" s="386">
        <f t="shared" si="1"/>
        <v>138240</v>
      </c>
      <c r="U39" s="456"/>
    </row>
    <row r="40" spans="1:21" ht="120">
      <c r="A40" s="444">
        <f t="shared" si="2"/>
        <v>27</v>
      </c>
      <c r="B40" s="445"/>
      <c r="C40" s="446"/>
      <c r="D40" s="446"/>
      <c r="E40" s="446"/>
      <c r="F40" s="446"/>
      <c r="G40" s="446"/>
      <c r="H40" s="446"/>
      <c r="I40" s="447" t="s">
        <v>920</v>
      </c>
      <c r="J40" s="448" t="s">
        <v>921</v>
      </c>
      <c r="K40" s="449" t="s">
        <v>862</v>
      </c>
      <c r="L40" s="450" t="s">
        <v>852</v>
      </c>
      <c r="M40" s="451">
        <v>138240</v>
      </c>
      <c r="N40" s="452">
        <f t="shared" si="0"/>
        <v>138240</v>
      </c>
      <c r="O40" s="453" t="s">
        <v>101</v>
      </c>
      <c r="P40" s="454">
        <v>0</v>
      </c>
      <c r="Q40" s="455">
        <v>0</v>
      </c>
      <c r="R40" s="386">
        <v>0</v>
      </c>
      <c r="S40" s="386">
        <v>0</v>
      </c>
      <c r="T40" s="386">
        <f t="shared" si="1"/>
        <v>138240</v>
      </c>
      <c r="U40" s="456"/>
    </row>
    <row r="41" spans="1:21" ht="105">
      <c r="A41" s="444">
        <f t="shared" si="2"/>
        <v>28</v>
      </c>
      <c r="B41" s="445"/>
      <c r="C41" s="446"/>
      <c r="D41" s="446"/>
      <c r="E41" s="446"/>
      <c r="F41" s="446"/>
      <c r="G41" s="446"/>
      <c r="H41" s="446"/>
      <c r="I41" s="447" t="s">
        <v>922</v>
      </c>
      <c r="J41" s="448" t="s">
        <v>923</v>
      </c>
      <c r="K41" s="449" t="s">
        <v>862</v>
      </c>
      <c r="L41" s="450" t="s">
        <v>852</v>
      </c>
      <c r="M41" s="451">
        <v>138240</v>
      </c>
      <c r="N41" s="452">
        <f t="shared" si="0"/>
        <v>138240</v>
      </c>
      <c r="O41" s="453" t="s">
        <v>101</v>
      </c>
      <c r="P41" s="454">
        <v>0</v>
      </c>
      <c r="Q41" s="455">
        <v>0</v>
      </c>
      <c r="R41" s="386">
        <v>0</v>
      </c>
      <c r="S41" s="386">
        <v>0</v>
      </c>
      <c r="T41" s="386">
        <f t="shared" si="1"/>
        <v>138240</v>
      </c>
      <c r="U41" s="456"/>
    </row>
    <row r="42" spans="1:21" ht="135">
      <c r="A42" s="444">
        <f t="shared" si="2"/>
        <v>29</v>
      </c>
      <c r="B42" s="445"/>
      <c r="C42" s="446"/>
      <c r="D42" s="446"/>
      <c r="E42" s="446"/>
      <c r="F42" s="446"/>
      <c r="G42" s="446"/>
      <c r="H42" s="446"/>
      <c r="I42" s="447" t="s">
        <v>924</v>
      </c>
      <c r="J42" s="448" t="s">
        <v>925</v>
      </c>
      <c r="K42" s="449" t="s">
        <v>862</v>
      </c>
      <c r="L42" s="450" t="s">
        <v>852</v>
      </c>
      <c r="M42" s="451">
        <v>138240</v>
      </c>
      <c r="N42" s="452">
        <f t="shared" si="0"/>
        <v>138240</v>
      </c>
      <c r="O42" s="453" t="s">
        <v>101</v>
      </c>
      <c r="P42" s="454">
        <v>0</v>
      </c>
      <c r="Q42" s="455">
        <v>0</v>
      </c>
      <c r="R42" s="386">
        <v>0</v>
      </c>
      <c r="S42" s="386">
        <v>0</v>
      </c>
      <c r="T42" s="386">
        <f t="shared" si="1"/>
        <v>138240</v>
      </c>
      <c r="U42" s="456"/>
    </row>
    <row r="43" spans="1:21" ht="60">
      <c r="A43" s="444">
        <f t="shared" si="2"/>
        <v>30</v>
      </c>
      <c r="B43" s="445"/>
      <c r="C43" s="446"/>
      <c r="D43" s="446"/>
      <c r="E43" s="446"/>
      <c r="F43" s="446"/>
      <c r="G43" s="446"/>
      <c r="H43" s="446"/>
      <c r="I43" s="447" t="s">
        <v>926</v>
      </c>
      <c r="J43" s="448" t="s">
        <v>927</v>
      </c>
      <c r="K43" s="449" t="s">
        <v>901</v>
      </c>
      <c r="L43" s="450" t="s">
        <v>852</v>
      </c>
      <c r="M43" s="451">
        <v>120000</v>
      </c>
      <c r="N43" s="452">
        <f t="shared" si="0"/>
        <v>120000</v>
      </c>
      <c r="O43" s="453" t="s">
        <v>101</v>
      </c>
      <c r="P43" s="454">
        <v>0</v>
      </c>
      <c r="Q43" s="455">
        <v>0</v>
      </c>
      <c r="R43" s="386">
        <v>0</v>
      </c>
      <c r="S43" s="386">
        <v>0</v>
      </c>
      <c r="T43" s="386">
        <f t="shared" si="1"/>
        <v>120000</v>
      </c>
      <c r="U43" s="456"/>
    </row>
    <row r="44" spans="1:21" ht="105">
      <c r="A44" s="444">
        <f t="shared" si="2"/>
        <v>31</v>
      </c>
      <c r="B44" s="445"/>
      <c r="C44" s="446"/>
      <c r="D44" s="446"/>
      <c r="E44" s="446"/>
      <c r="F44" s="446"/>
      <c r="G44" s="446"/>
      <c r="H44" s="446"/>
      <c r="I44" s="447" t="s">
        <v>928</v>
      </c>
      <c r="J44" s="448" t="s">
        <v>929</v>
      </c>
      <c r="K44" s="449" t="s">
        <v>862</v>
      </c>
      <c r="L44" s="450" t="s">
        <v>852</v>
      </c>
      <c r="M44" s="451">
        <v>134400</v>
      </c>
      <c r="N44" s="452">
        <f t="shared" si="0"/>
        <v>134400</v>
      </c>
      <c r="O44" s="453" t="s">
        <v>101</v>
      </c>
      <c r="P44" s="454">
        <v>0</v>
      </c>
      <c r="Q44" s="455">
        <v>0</v>
      </c>
      <c r="R44" s="386">
        <v>0</v>
      </c>
      <c r="S44" s="386">
        <v>0</v>
      </c>
      <c r="T44" s="386">
        <f t="shared" si="1"/>
        <v>134400</v>
      </c>
      <c r="U44" s="456"/>
    </row>
    <row r="45" spans="1:21" ht="105">
      <c r="A45" s="444">
        <f t="shared" si="2"/>
        <v>32</v>
      </c>
      <c r="B45" s="445"/>
      <c r="C45" s="446"/>
      <c r="D45" s="446"/>
      <c r="E45" s="446"/>
      <c r="F45" s="446"/>
      <c r="G45" s="446"/>
      <c r="H45" s="446"/>
      <c r="I45" s="447" t="s">
        <v>930</v>
      </c>
      <c r="J45" s="448" t="s">
        <v>931</v>
      </c>
      <c r="K45" s="449" t="s">
        <v>862</v>
      </c>
      <c r="L45" s="450" t="s">
        <v>852</v>
      </c>
      <c r="M45" s="451">
        <v>134400</v>
      </c>
      <c r="N45" s="452">
        <f>M45</f>
        <v>134400</v>
      </c>
      <c r="O45" s="453" t="s">
        <v>101</v>
      </c>
      <c r="P45" s="454">
        <v>0</v>
      </c>
      <c r="Q45" s="455">
        <v>0</v>
      </c>
      <c r="R45" s="386">
        <v>0</v>
      </c>
      <c r="S45" s="386">
        <v>0</v>
      </c>
      <c r="T45" s="386">
        <f t="shared" si="1"/>
        <v>134400</v>
      </c>
      <c r="U45" s="456"/>
    </row>
    <row r="46" spans="1:21" ht="105">
      <c r="A46" s="444">
        <f t="shared" si="2"/>
        <v>33</v>
      </c>
      <c r="B46" s="445"/>
      <c r="C46" s="446"/>
      <c r="D46" s="446"/>
      <c r="E46" s="446"/>
      <c r="F46" s="446"/>
      <c r="G46" s="446"/>
      <c r="H46" s="446"/>
      <c r="I46" s="447" t="s">
        <v>932</v>
      </c>
      <c r="J46" s="448" t="s">
        <v>933</v>
      </c>
      <c r="K46" s="449" t="s">
        <v>862</v>
      </c>
      <c r="L46" s="450" t="s">
        <v>852</v>
      </c>
      <c r="M46" s="451">
        <v>134400</v>
      </c>
      <c r="N46" s="452">
        <f>M46</f>
        <v>134400</v>
      </c>
      <c r="O46" s="453" t="s">
        <v>101</v>
      </c>
      <c r="P46" s="454">
        <v>0</v>
      </c>
      <c r="Q46" s="455">
        <v>0</v>
      </c>
      <c r="R46" s="386">
        <v>0</v>
      </c>
      <c r="S46" s="386">
        <v>0</v>
      </c>
      <c r="T46" s="386">
        <f t="shared" si="1"/>
        <v>134400</v>
      </c>
      <c r="U46" s="456"/>
    </row>
    <row r="47" spans="1:21" ht="120">
      <c r="A47" s="444">
        <f t="shared" si="2"/>
        <v>34</v>
      </c>
      <c r="B47" s="445"/>
      <c r="C47" s="446"/>
      <c r="D47" s="446"/>
      <c r="E47" s="446"/>
      <c r="F47" s="446"/>
      <c r="G47" s="446"/>
      <c r="H47" s="446"/>
      <c r="I47" s="447" t="s">
        <v>934</v>
      </c>
      <c r="J47" s="448" t="s">
        <v>935</v>
      </c>
      <c r="K47" s="449" t="s">
        <v>862</v>
      </c>
      <c r="L47" s="450" t="s">
        <v>852</v>
      </c>
      <c r="M47" s="451">
        <v>134400</v>
      </c>
      <c r="N47" s="452">
        <f t="shared" si="0"/>
        <v>134400</v>
      </c>
      <c r="O47" s="453" t="s">
        <v>101</v>
      </c>
      <c r="P47" s="454">
        <v>0</v>
      </c>
      <c r="Q47" s="455">
        <v>0</v>
      </c>
      <c r="R47" s="386">
        <v>0</v>
      </c>
      <c r="S47" s="386">
        <v>0</v>
      </c>
      <c r="T47" s="386">
        <f t="shared" si="1"/>
        <v>134400</v>
      </c>
      <c r="U47" s="456"/>
    </row>
    <row r="48" spans="1:21" ht="105">
      <c r="A48" s="444">
        <f t="shared" si="2"/>
        <v>35</v>
      </c>
      <c r="B48" s="445"/>
      <c r="C48" s="446"/>
      <c r="D48" s="446"/>
      <c r="E48" s="446"/>
      <c r="F48" s="446"/>
      <c r="G48" s="446"/>
      <c r="H48" s="446"/>
      <c r="I48" s="447" t="s">
        <v>936</v>
      </c>
      <c r="J48" s="448" t="s">
        <v>937</v>
      </c>
      <c r="K48" s="449" t="s">
        <v>862</v>
      </c>
      <c r="L48" s="450" t="s">
        <v>852</v>
      </c>
      <c r="M48" s="451">
        <v>134400</v>
      </c>
      <c r="N48" s="452">
        <f>M48</f>
        <v>134400</v>
      </c>
      <c r="O48" s="453" t="s">
        <v>101</v>
      </c>
      <c r="P48" s="454">
        <v>0</v>
      </c>
      <c r="Q48" s="455">
        <v>0</v>
      </c>
      <c r="R48" s="386">
        <v>0</v>
      </c>
      <c r="S48" s="386">
        <v>0</v>
      </c>
      <c r="T48" s="386">
        <f t="shared" si="1"/>
        <v>134400</v>
      </c>
      <c r="U48" s="456"/>
    </row>
    <row r="49" spans="1:21" ht="105">
      <c r="A49" s="444">
        <f t="shared" si="2"/>
        <v>36</v>
      </c>
      <c r="B49" s="445"/>
      <c r="C49" s="446"/>
      <c r="D49" s="446"/>
      <c r="E49" s="446"/>
      <c r="F49" s="446"/>
      <c r="G49" s="446"/>
      <c r="H49" s="446"/>
      <c r="I49" s="447" t="s">
        <v>938</v>
      </c>
      <c r="J49" s="448" t="s">
        <v>939</v>
      </c>
      <c r="K49" s="449" t="s">
        <v>862</v>
      </c>
      <c r="L49" s="450" t="s">
        <v>852</v>
      </c>
      <c r="M49" s="451">
        <v>134400</v>
      </c>
      <c r="N49" s="452">
        <f>M49</f>
        <v>134400</v>
      </c>
      <c r="O49" s="453" t="s">
        <v>101</v>
      </c>
      <c r="P49" s="454">
        <v>0</v>
      </c>
      <c r="Q49" s="455">
        <v>0</v>
      </c>
      <c r="R49" s="386">
        <v>0</v>
      </c>
      <c r="S49" s="386">
        <v>0</v>
      </c>
      <c r="T49" s="386">
        <f t="shared" si="1"/>
        <v>134400</v>
      </c>
      <c r="U49" s="456"/>
    </row>
    <row r="50" spans="1:21" ht="105">
      <c r="A50" s="444">
        <f t="shared" si="2"/>
        <v>37</v>
      </c>
      <c r="B50" s="445"/>
      <c r="C50" s="446"/>
      <c r="D50" s="446"/>
      <c r="E50" s="446"/>
      <c r="F50" s="446"/>
      <c r="G50" s="446"/>
      <c r="H50" s="446"/>
      <c r="I50" s="447" t="s">
        <v>940</v>
      </c>
      <c r="J50" s="448" t="s">
        <v>941</v>
      </c>
      <c r="K50" s="449" t="s">
        <v>862</v>
      </c>
      <c r="L50" s="450" t="s">
        <v>852</v>
      </c>
      <c r="M50" s="451">
        <v>134400</v>
      </c>
      <c r="N50" s="452">
        <f>M50</f>
        <v>134400</v>
      </c>
      <c r="O50" s="453" t="s">
        <v>101</v>
      </c>
      <c r="P50" s="454">
        <v>0</v>
      </c>
      <c r="Q50" s="455">
        <v>0</v>
      </c>
      <c r="R50" s="386">
        <v>0</v>
      </c>
      <c r="S50" s="386">
        <v>0</v>
      </c>
      <c r="T50" s="386">
        <f t="shared" si="1"/>
        <v>134400</v>
      </c>
      <c r="U50" s="456"/>
    </row>
    <row r="51" spans="1:21" ht="105">
      <c r="A51" s="444">
        <f t="shared" si="2"/>
        <v>38</v>
      </c>
      <c r="B51" s="445"/>
      <c r="C51" s="446"/>
      <c r="D51" s="446"/>
      <c r="E51" s="446"/>
      <c r="F51" s="446"/>
      <c r="G51" s="446"/>
      <c r="H51" s="446"/>
      <c r="I51" s="447" t="s">
        <v>942</v>
      </c>
      <c r="J51" s="448" t="s">
        <v>943</v>
      </c>
      <c r="K51" s="449" t="s">
        <v>862</v>
      </c>
      <c r="L51" s="450" t="s">
        <v>852</v>
      </c>
      <c r="M51" s="451">
        <v>134400</v>
      </c>
      <c r="N51" s="452">
        <f>M51</f>
        <v>134400</v>
      </c>
      <c r="O51" s="453" t="s">
        <v>101</v>
      </c>
      <c r="P51" s="454">
        <v>0</v>
      </c>
      <c r="Q51" s="455">
        <v>0</v>
      </c>
      <c r="R51" s="386">
        <v>0</v>
      </c>
      <c r="S51" s="386">
        <v>0</v>
      </c>
      <c r="T51" s="386">
        <f t="shared" si="1"/>
        <v>134400</v>
      </c>
      <c r="U51" s="456"/>
    </row>
    <row r="52" spans="1:21" ht="105">
      <c r="A52" s="444">
        <f t="shared" si="2"/>
        <v>39</v>
      </c>
      <c r="B52" s="445"/>
      <c r="C52" s="446"/>
      <c r="D52" s="446"/>
      <c r="E52" s="446"/>
      <c r="F52" s="446"/>
      <c r="G52" s="446"/>
      <c r="H52" s="446"/>
      <c r="I52" s="447" t="s">
        <v>944</v>
      </c>
      <c r="J52" s="448" t="s">
        <v>945</v>
      </c>
      <c r="K52" s="449" t="s">
        <v>862</v>
      </c>
      <c r="L52" s="450" t="s">
        <v>852</v>
      </c>
      <c r="M52" s="451">
        <v>100800</v>
      </c>
      <c r="N52" s="452">
        <f t="shared" si="0"/>
        <v>100800</v>
      </c>
      <c r="O52" s="453" t="s">
        <v>101</v>
      </c>
      <c r="P52" s="454">
        <v>0</v>
      </c>
      <c r="Q52" s="455">
        <v>0</v>
      </c>
      <c r="R52" s="386">
        <v>0</v>
      </c>
      <c r="S52" s="386">
        <v>0</v>
      </c>
      <c r="T52" s="386">
        <f t="shared" si="1"/>
        <v>100800</v>
      </c>
      <c r="U52" s="456"/>
    </row>
    <row r="53" spans="1:21" ht="105">
      <c r="A53" s="444">
        <f t="shared" si="2"/>
        <v>40</v>
      </c>
      <c r="B53" s="445"/>
      <c r="C53" s="446"/>
      <c r="D53" s="446"/>
      <c r="E53" s="446"/>
      <c r="F53" s="446"/>
      <c r="G53" s="446"/>
      <c r="H53" s="446"/>
      <c r="I53" s="447" t="s">
        <v>946</v>
      </c>
      <c r="J53" s="448" t="s">
        <v>947</v>
      </c>
      <c r="K53" s="449" t="s">
        <v>862</v>
      </c>
      <c r="L53" s="450" t="s">
        <v>852</v>
      </c>
      <c r="M53" s="451">
        <v>100800</v>
      </c>
      <c r="N53" s="452">
        <f>M53</f>
        <v>100800</v>
      </c>
      <c r="O53" s="453" t="s">
        <v>101</v>
      </c>
      <c r="P53" s="454">
        <v>0</v>
      </c>
      <c r="Q53" s="455">
        <v>0</v>
      </c>
      <c r="R53" s="386">
        <v>0</v>
      </c>
      <c r="S53" s="386">
        <v>0</v>
      </c>
      <c r="T53" s="386">
        <f t="shared" si="1"/>
        <v>100800</v>
      </c>
      <c r="U53" s="456"/>
    </row>
    <row r="54" spans="1:21" ht="105">
      <c r="A54" s="444">
        <f t="shared" si="2"/>
        <v>41</v>
      </c>
      <c r="B54" s="445"/>
      <c r="C54" s="446"/>
      <c r="D54" s="446"/>
      <c r="E54" s="446"/>
      <c r="F54" s="446"/>
      <c r="G54" s="446"/>
      <c r="H54" s="446"/>
      <c r="I54" s="447" t="s">
        <v>948</v>
      </c>
      <c r="J54" s="448" t="s">
        <v>949</v>
      </c>
      <c r="K54" s="449" t="s">
        <v>862</v>
      </c>
      <c r="L54" s="450" t="s">
        <v>852</v>
      </c>
      <c r="M54" s="451">
        <v>100800</v>
      </c>
      <c r="N54" s="452">
        <f>M54</f>
        <v>100800</v>
      </c>
      <c r="O54" s="453" t="s">
        <v>101</v>
      </c>
      <c r="P54" s="454">
        <v>0</v>
      </c>
      <c r="Q54" s="455">
        <v>0</v>
      </c>
      <c r="R54" s="386">
        <v>0</v>
      </c>
      <c r="S54" s="386">
        <v>0</v>
      </c>
      <c r="T54" s="386">
        <f t="shared" si="1"/>
        <v>100800</v>
      </c>
      <c r="U54" s="456"/>
    </row>
    <row r="55" spans="1:21" ht="105">
      <c r="A55" s="444">
        <f t="shared" si="2"/>
        <v>42</v>
      </c>
      <c r="B55" s="445"/>
      <c r="C55" s="446"/>
      <c r="D55" s="446"/>
      <c r="E55" s="446"/>
      <c r="F55" s="446"/>
      <c r="G55" s="446"/>
      <c r="H55" s="446"/>
      <c r="I55" s="447" t="s">
        <v>950</v>
      </c>
      <c r="J55" s="448" t="s">
        <v>951</v>
      </c>
      <c r="K55" s="449" t="s">
        <v>862</v>
      </c>
      <c r="L55" s="450" t="s">
        <v>852</v>
      </c>
      <c r="M55" s="451">
        <v>100800</v>
      </c>
      <c r="N55" s="452">
        <f>M55</f>
        <v>100800</v>
      </c>
      <c r="O55" s="453" t="s">
        <v>101</v>
      </c>
      <c r="P55" s="454">
        <v>0</v>
      </c>
      <c r="Q55" s="455">
        <v>0</v>
      </c>
      <c r="R55" s="386">
        <v>0</v>
      </c>
      <c r="S55" s="386">
        <v>0</v>
      </c>
      <c r="T55" s="386">
        <f t="shared" si="1"/>
        <v>100800</v>
      </c>
      <c r="U55" s="456"/>
    </row>
    <row r="56" spans="1:21" ht="105">
      <c r="A56" s="444">
        <f t="shared" si="2"/>
        <v>43</v>
      </c>
      <c r="B56" s="445"/>
      <c r="C56" s="446"/>
      <c r="D56" s="446"/>
      <c r="E56" s="446"/>
      <c r="F56" s="446"/>
      <c r="G56" s="446"/>
      <c r="H56" s="446"/>
      <c r="I56" s="447" t="s">
        <v>952</v>
      </c>
      <c r="J56" s="448" t="s">
        <v>953</v>
      </c>
      <c r="K56" s="449" t="s">
        <v>862</v>
      </c>
      <c r="L56" s="450" t="s">
        <v>852</v>
      </c>
      <c r="M56" s="451">
        <v>134400</v>
      </c>
      <c r="N56" s="452">
        <f t="shared" si="0"/>
        <v>134400</v>
      </c>
      <c r="O56" s="453" t="s">
        <v>101</v>
      </c>
      <c r="P56" s="454">
        <v>0</v>
      </c>
      <c r="Q56" s="455">
        <v>0</v>
      </c>
      <c r="R56" s="386">
        <v>0</v>
      </c>
      <c r="S56" s="386">
        <v>0</v>
      </c>
      <c r="T56" s="386">
        <f t="shared" si="1"/>
        <v>134400</v>
      </c>
      <c r="U56" s="456"/>
    </row>
    <row r="57" spans="1:21" ht="105">
      <c r="A57" s="444">
        <f t="shared" si="2"/>
        <v>44</v>
      </c>
      <c r="B57" s="445"/>
      <c r="C57" s="446"/>
      <c r="D57" s="446"/>
      <c r="E57" s="446"/>
      <c r="F57" s="446"/>
      <c r="G57" s="446"/>
      <c r="H57" s="446"/>
      <c r="I57" s="447" t="s">
        <v>954</v>
      </c>
      <c r="J57" s="448" t="s">
        <v>955</v>
      </c>
      <c r="K57" s="449" t="s">
        <v>862</v>
      </c>
      <c r="L57" s="450" t="s">
        <v>852</v>
      </c>
      <c r="M57" s="451">
        <v>134400</v>
      </c>
      <c r="N57" s="452">
        <f>M57</f>
        <v>134400</v>
      </c>
      <c r="O57" s="453" t="s">
        <v>101</v>
      </c>
      <c r="P57" s="454">
        <v>0</v>
      </c>
      <c r="Q57" s="455">
        <v>0</v>
      </c>
      <c r="R57" s="386">
        <v>0</v>
      </c>
      <c r="S57" s="386">
        <v>0</v>
      </c>
      <c r="T57" s="386">
        <f t="shared" si="1"/>
        <v>134400</v>
      </c>
      <c r="U57" s="456"/>
    </row>
    <row r="58" spans="1:21" ht="105">
      <c r="A58" s="444">
        <f t="shared" si="2"/>
        <v>45</v>
      </c>
      <c r="B58" s="445"/>
      <c r="C58" s="446"/>
      <c r="D58" s="446"/>
      <c r="E58" s="446"/>
      <c r="F58" s="446"/>
      <c r="G58" s="446"/>
      <c r="H58" s="446"/>
      <c r="I58" s="447" t="s">
        <v>956</v>
      </c>
      <c r="J58" s="448" t="s">
        <v>957</v>
      </c>
      <c r="K58" s="449" t="s">
        <v>862</v>
      </c>
      <c r="L58" s="450" t="s">
        <v>852</v>
      </c>
      <c r="M58" s="451">
        <v>134400</v>
      </c>
      <c r="N58" s="452">
        <f>M58</f>
        <v>134400</v>
      </c>
      <c r="O58" s="453" t="s">
        <v>101</v>
      </c>
      <c r="P58" s="454">
        <v>0</v>
      </c>
      <c r="Q58" s="455">
        <v>0</v>
      </c>
      <c r="R58" s="386">
        <v>0</v>
      </c>
      <c r="S58" s="386">
        <v>0</v>
      </c>
      <c r="T58" s="386">
        <f t="shared" si="1"/>
        <v>134400</v>
      </c>
      <c r="U58" s="456"/>
    </row>
    <row r="59" spans="1:21" ht="105">
      <c r="A59" s="444">
        <f t="shared" si="2"/>
        <v>46</v>
      </c>
      <c r="B59" s="445"/>
      <c r="C59" s="446"/>
      <c r="D59" s="446"/>
      <c r="E59" s="446"/>
      <c r="F59" s="446"/>
      <c r="G59" s="446"/>
      <c r="H59" s="446"/>
      <c r="I59" s="447" t="s">
        <v>958</v>
      </c>
      <c r="J59" s="448" t="s">
        <v>959</v>
      </c>
      <c r="K59" s="449" t="s">
        <v>862</v>
      </c>
      <c r="L59" s="450" t="s">
        <v>852</v>
      </c>
      <c r="M59" s="451">
        <v>134400</v>
      </c>
      <c r="N59" s="452">
        <f>M59</f>
        <v>134400</v>
      </c>
      <c r="O59" s="453" t="s">
        <v>101</v>
      </c>
      <c r="P59" s="454">
        <v>0</v>
      </c>
      <c r="Q59" s="455">
        <v>0</v>
      </c>
      <c r="R59" s="386">
        <v>0</v>
      </c>
      <c r="S59" s="386">
        <v>0</v>
      </c>
      <c r="T59" s="386">
        <f t="shared" si="1"/>
        <v>134400</v>
      </c>
      <c r="U59" s="456"/>
    </row>
    <row r="60" spans="1:21" ht="45">
      <c r="A60" s="444">
        <f t="shared" si="2"/>
        <v>47</v>
      </c>
      <c r="B60" s="445"/>
      <c r="C60" s="446"/>
      <c r="D60" s="446"/>
      <c r="E60" s="446"/>
      <c r="F60" s="446"/>
      <c r="G60" s="446"/>
      <c r="H60" s="446"/>
      <c r="I60" s="447" t="s">
        <v>960</v>
      </c>
      <c r="J60" s="448" t="s">
        <v>961</v>
      </c>
      <c r="K60" s="449" t="s">
        <v>851</v>
      </c>
      <c r="L60" s="450" t="s">
        <v>852</v>
      </c>
      <c r="M60" s="451">
        <v>420000</v>
      </c>
      <c r="N60" s="452">
        <f t="shared" si="0"/>
        <v>420000</v>
      </c>
      <c r="O60" s="453" t="s">
        <v>101</v>
      </c>
      <c r="P60" s="454">
        <v>0</v>
      </c>
      <c r="Q60" s="455">
        <v>0</v>
      </c>
      <c r="R60" s="386">
        <v>0</v>
      </c>
      <c r="S60" s="386">
        <v>0</v>
      </c>
      <c r="T60" s="386">
        <f t="shared" si="1"/>
        <v>420000</v>
      </c>
      <c r="U60" s="456"/>
    </row>
    <row r="61" spans="1:21" ht="75">
      <c r="A61" s="444">
        <f t="shared" si="2"/>
        <v>48</v>
      </c>
      <c r="B61" s="445"/>
      <c r="C61" s="446"/>
      <c r="D61" s="446"/>
      <c r="E61" s="446"/>
      <c r="F61" s="446"/>
      <c r="G61" s="446"/>
      <c r="H61" s="446"/>
      <c r="I61" s="447" t="s">
        <v>962</v>
      </c>
      <c r="J61" s="448" t="s">
        <v>963</v>
      </c>
      <c r="K61" s="449" t="s">
        <v>901</v>
      </c>
      <c r="L61" s="450" t="s">
        <v>852</v>
      </c>
      <c r="M61" s="451">
        <v>1200000</v>
      </c>
      <c r="N61" s="452">
        <f t="shared" si="0"/>
        <v>1200000</v>
      </c>
      <c r="O61" s="453" t="s">
        <v>101</v>
      </c>
      <c r="P61" s="454">
        <v>0</v>
      </c>
      <c r="Q61" s="455">
        <v>0</v>
      </c>
      <c r="R61" s="386">
        <v>0</v>
      </c>
      <c r="S61" s="386">
        <v>0</v>
      </c>
      <c r="T61" s="386">
        <f t="shared" si="1"/>
        <v>1200000</v>
      </c>
      <c r="U61" s="456"/>
    </row>
    <row r="62" spans="1:21" ht="45">
      <c r="A62" s="444">
        <f t="shared" si="2"/>
        <v>49</v>
      </c>
      <c r="B62" s="445"/>
      <c r="C62" s="446"/>
      <c r="D62" s="446"/>
      <c r="E62" s="446"/>
      <c r="F62" s="446"/>
      <c r="G62" s="446"/>
      <c r="H62" s="446"/>
      <c r="I62" s="447" t="s">
        <v>964</v>
      </c>
      <c r="J62" s="448" t="s">
        <v>965</v>
      </c>
      <c r="K62" s="449" t="s">
        <v>901</v>
      </c>
      <c r="L62" s="450" t="s">
        <v>852</v>
      </c>
      <c r="M62" s="451">
        <v>240000</v>
      </c>
      <c r="N62" s="452">
        <f t="shared" si="0"/>
        <v>240000</v>
      </c>
      <c r="O62" s="453" t="s">
        <v>101</v>
      </c>
      <c r="P62" s="454">
        <v>0</v>
      </c>
      <c r="Q62" s="455">
        <v>0</v>
      </c>
      <c r="R62" s="386">
        <v>0</v>
      </c>
      <c r="S62" s="386">
        <v>0</v>
      </c>
      <c r="T62" s="386">
        <f t="shared" si="1"/>
        <v>240000</v>
      </c>
      <c r="U62" s="456"/>
    </row>
    <row r="63" spans="1:21" ht="45">
      <c r="A63" s="444">
        <f t="shared" si="2"/>
        <v>50</v>
      </c>
      <c r="B63" s="445"/>
      <c r="C63" s="446"/>
      <c r="D63" s="446"/>
      <c r="E63" s="446"/>
      <c r="F63" s="446"/>
      <c r="G63" s="446"/>
      <c r="H63" s="446"/>
      <c r="I63" s="447" t="s">
        <v>966</v>
      </c>
      <c r="J63" s="448" t="s">
        <v>967</v>
      </c>
      <c r="K63" s="449" t="s">
        <v>851</v>
      </c>
      <c r="L63" s="450" t="s">
        <v>852</v>
      </c>
      <c r="M63" s="451">
        <v>3000000</v>
      </c>
      <c r="N63" s="452">
        <f t="shared" si="0"/>
        <v>3000000</v>
      </c>
      <c r="O63" s="453" t="s">
        <v>101</v>
      </c>
      <c r="P63" s="454">
        <v>0</v>
      </c>
      <c r="Q63" s="455">
        <v>0</v>
      </c>
      <c r="R63" s="386">
        <v>0</v>
      </c>
      <c r="S63" s="386">
        <v>0</v>
      </c>
      <c r="T63" s="386">
        <f t="shared" si="1"/>
        <v>3000000</v>
      </c>
      <c r="U63" s="456"/>
    </row>
    <row r="64" spans="1:21" ht="105">
      <c r="A64" s="444">
        <f t="shared" si="2"/>
        <v>51</v>
      </c>
      <c r="B64" s="445"/>
      <c r="C64" s="446"/>
      <c r="D64" s="446"/>
      <c r="E64" s="446"/>
      <c r="F64" s="446"/>
      <c r="G64" s="446"/>
      <c r="H64" s="446"/>
      <c r="I64" s="447" t="s">
        <v>968</v>
      </c>
      <c r="J64" s="448" t="s">
        <v>969</v>
      </c>
      <c r="K64" s="449" t="s">
        <v>862</v>
      </c>
      <c r="L64" s="450" t="s">
        <v>852</v>
      </c>
      <c r="M64" s="451">
        <v>109964</v>
      </c>
      <c r="N64" s="452">
        <f t="shared" si="0"/>
        <v>109964</v>
      </c>
      <c r="O64" s="453" t="s">
        <v>101</v>
      </c>
      <c r="P64" s="454">
        <v>0</v>
      </c>
      <c r="Q64" s="455">
        <v>0</v>
      </c>
      <c r="R64" s="386">
        <v>0</v>
      </c>
      <c r="S64" s="386">
        <v>0</v>
      </c>
      <c r="T64" s="386">
        <f t="shared" si="1"/>
        <v>109964</v>
      </c>
      <c r="U64" s="456"/>
    </row>
    <row r="65" spans="1:21" ht="105">
      <c r="A65" s="444">
        <f t="shared" si="2"/>
        <v>52</v>
      </c>
      <c r="B65" s="445"/>
      <c r="C65" s="446"/>
      <c r="D65" s="446"/>
      <c r="E65" s="446"/>
      <c r="F65" s="446"/>
      <c r="G65" s="446"/>
      <c r="H65" s="446"/>
      <c r="I65" s="447" t="s">
        <v>970</v>
      </c>
      <c r="J65" s="448" t="s">
        <v>971</v>
      </c>
      <c r="K65" s="449" t="s">
        <v>862</v>
      </c>
      <c r="L65" s="450" t="s">
        <v>852</v>
      </c>
      <c r="M65" s="451">
        <v>109964</v>
      </c>
      <c r="N65" s="452">
        <f t="shared" si="0"/>
        <v>109964</v>
      </c>
      <c r="O65" s="453" t="s">
        <v>101</v>
      </c>
      <c r="P65" s="454">
        <v>0</v>
      </c>
      <c r="Q65" s="455">
        <v>0</v>
      </c>
      <c r="R65" s="386">
        <v>0</v>
      </c>
      <c r="S65" s="386">
        <v>0</v>
      </c>
      <c r="T65" s="386">
        <f t="shared" si="1"/>
        <v>109964</v>
      </c>
      <c r="U65" s="456"/>
    </row>
    <row r="66" spans="1:21" ht="105">
      <c r="A66" s="444">
        <f t="shared" si="2"/>
        <v>53</v>
      </c>
      <c r="B66" s="445"/>
      <c r="C66" s="446"/>
      <c r="D66" s="446"/>
      <c r="E66" s="446"/>
      <c r="F66" s="446"/>
      <c r="G66" s="446"/>
      <c r="H66" s="446"/>
      <c r="I66" s="447" t="s">
        <v>972</v>
      </c>
      <c r="J66" s="448" t="s">
        <v>973</v>
      </c>
      <c r="K66" s="449" t="s">
        <v>862</v>
      </c>
      <c r="L66" s="450" t="s">
        <v>852</v>
      </c>
      <c r="M66" s="451">
        <v>109964</v>
      </c>
      <c r="N66" s="452">
        <f t="shared" si="0"/>
        <v>109964</v>
      </c>
      <c r="O66" s="453" t="s">
        <v>101</v>
      </c>
      <c r="P66" s="454">
        <v>0</v>
      </c>
      <c r="Q66" s="455">
        <v>0</v>
      </c>
      <c r="R66" s="386">
        <v>0</v>
      </c>
      <c r="S66" s="386">
        <v>0</v>
      </c>
      <c r="T66" s="386">
        <f t="shared" si="1"/>
        <v>109964</v>
      </c>
      <c r="U66" s="456"/>
    </row>
    <row r="67" spans="1:21" ht="105">
      <c r="A67" s="444">
        <f t="shared" si="2"/>
        <v>54</v>
      </c>
      <c r="B67" s="445"/>
      <c r="C67" s="446"/>
      <c r="D67" s="446"/>
      <c r="E67" s="446"/>
      <c r="F67" s="446"/>
      <c r="G67" s="446"/>
      <c r="H67" s="446"/>
      <c r="I67" s="447" t="s">
        <v>974</v>
      </c>
      <c r="J67" s="448" t="s">
        <v>975</v>
      </c>
      <c r="K67" s="449" t="s">
        <v>862</v>
      </c>
      <c r="L67" s="450" t="s">
        <v>852</v>
      </c>
      <c r="M67" s="451">
        <v>109964</v>
      </c>
      <c r="N67" s="452">
        <f t="shared" si="0"/>
        <v>109964</v>
      </c>
      <c r="O67" s="453" t="s">
        <v>101</v>
      </c>
      <c r="P67" s="454">
        <v>0</v>
      </c>
      <c r="Q67" s="455">
        <v>0</v>
      </c>
      <c r="R67" s="386">
        <v>0</v>
      </c>
      <c r="S67" s="386">
        <v>0</v>
      </c>
      <c r="T67" s="386">
        <f t="shared" si="1"/>
        <v>109964</v>
      </c>
      <c r="U67" s="456"/>
    </row>
    <row r="68" spans="1:21" ht="105">
      <c r="A68" s="444">
        <f t="shared" si="2"/>
        <v>55</v>
      </c>
      <c r="B68" s="445"/>
      <c r="C68" s="446"/>
      <c r="D68" s="446"/>
      <c r="E68" s="446"/>
      <c r="F68" s="446"/>
      <c r="G68" s="446"/>
      <c r="H68" s="446"/>
      <c r="I68" s="447" t="s">
        <v>976</v>
      </c>
      <c r="J68" s="448" t="s">
        <v>977</v>
      </c>
      <c r="K68" s="449" t="s">
        <v>862</v>
      </c>
      <c r="L68" s="450" t="s">
        <v>852</v>
      </c>
      <c r="M68" s="451">
        <v>109964</v>
      </c>
      <c r="N68" s="452">
        <f t="shared" si="0"/>
        <v>109964</v>
      </c>
      <c r="O68" s="453" t="s">
        <v>101</v>
      </c>
      <c r="P68" s="454">
        <v>0</v>
      </c>
      <c r="Q68" s="455">
        <v>0</v>
      </c>
      <c r="R68" s="386">
        <v>0</v>
      </c>
      <c r="S68" s="386">
        <v>0</v>
      </c>
      <c r="T68" s="386">
        <f t="shared" si="1"/>
        <v>109964</v>
      </c>
      <c r="U68" s="456"/>
    </row>
    <row r="69" spans="1:21" ht="105">
      <c r="A69" s="444">
        <f t="shared" si="2"/>
        <v>56</v>
      </c>
      <c r="B69" s="445"/>
      <c r="C69" s="446"/>
      <c r="D69" s="446"/>
      <c r="E69" s="446"/>
      <c r="F69" s="446"/>
      <c r="G69" s="446"/>
      <c r="H69" s="446"/>
      <c r="I69" s="447" t="s">
        <v>978</v>
      </c>
      <c r="J69" s="448" t="s">
        <v>979</v>
      </c>
      <c r="K69" s="449" t="s">
        <v>862</v>
      </c>
      <c r="L69" s="450" t="s">
        <v>852</v>
      </c>
      <c r="M69" s="451">
        <v>109964</v>
      </c>
      <c r="N69" s="452">
        <f t="shared" si="0"/>
        <v>109964</v>
      </c>
      <c r="O69" s="453" t="s">
        <v>101</v>
      </c>
      <c r="P69" s="454">
        <v>0</v>
      </c>
      <c r="Q69" s="455">
        <v>0</v>
      </c>
      <c r="R69" s="386">
        <v>0</v>
      </c>
      <c r="S69" s="386">
        <v>0</v>
      </c>
      <c r="T69" s="386">
        <f t="shared" si="1"/>
        <v>109964</v>
      </c>
      <c r="U69" s="456"/>
    </row>
    <row r="70" spans="1:21" ht="120">
      <c r="A70" s="444">
        <f t="shared" si="2"/>
        <v>57</v>
      </c>
      <c r="B70" s="445"/>
      <c r="C70" s="446"/>
      <c r="D70" s="446"/>
      <c r="E70" s="446"/>
      <c r="F70" s="446"/>
      <c r="G70" s="446"/>
      <c r="H70" s="446"/>
      <c r="I70" s="447" t="s">
        <v>980</v>
      </c>
      <c r="J70" s="448" t="s">
        <v>981</v>
      </c>
      <c r="K70" s="449" t="s">
        <v>862</v>
      </c>
      <c r="L70" s="450" t="s">
        <v>852</v>
      </c>
      <c r="M70" s="451">
        <v>109964</v>
      </c>
      <c r="N70" s="452">
        <f t="shared" si="0"/>
        <v>109964</v>
      </c>
      <c r="O70" s="453" t="s">
        <v>101</v>
      </c>
      <c r="P70" s="454">
        <v>0</v>
      </c>
      <c r="Q70" s="455">
        <v>0</v>
      </c>
      <c r="R70" s="386">
        <v>0</v>
      </c>
      <c r="S70" s="386">
        <v>0</v>
      </c>
      <c r="T70" s="386">
        <f t="shared" si="1"/>
        <v>109964</v>
      </c>
      <c r="U70" s="456"/>
    </row>
    <row r="71" spans="1:21" ht="105">
      <c r="A71" s="444">
        <f t="shared" si="2"/>
        <v>58</v>
      </c>
      <c r="B71" s="445"/>
      <c r="C71" s="446"/>
      <c r="D71" s="446"/>
      <c r="E71" s="446"/>
      <c r="F71" s="446"/>
      <c r="G71" s="446"/>
      <c r="H71" s="446"/>
      <c r="I71" s="447" t="s">
        <v>982</v>
      </c>
      <c r="J71" s="448" t="s">
        <v>983</v>
      </c>
      <c r="K71" s="449" t="s">
        <v>862</v>
      </c>
      <c r="L71" s="450" t="s">
        <v>852</v>
      </c>
      <c r="M71" s="451">
        <v>109964</v>
      </c>
      <c r="N71" s="452">
        <f t="shared" si="0"/>
        <v>109964</v>
      </c>
      <c r="O71" s="453" t="s">
        <v>101</v>
      </c>
      <c r="P71" s="454">
        <v>0</v>
      </c>
      <c r="Q71" s="455">
        <v>0</v>
      </c>
      <c r="R71" s="386">
        <v>0</v>
      </c>
      <c r="S71" s="386">
        <v>0</v>
      </c>
      <c r="T71" s="386">
        <f t="shared" si="1"/>
        <v>109964</v>
      </c>
      <c r="U71" s="456"/>
    </row>
    <row r="72" spans="1:21" ht="120">
      <c r="A72" s="444">
        <f t="shared" si="2"/>
        <v>59</v>
      </c>
      <c r="B72" s="445"/>
      <c r="C72" s="446"/>
      <c r="D72" s="446"/>
      <c r="E72" s="446"/>
      <c r="F72" s="446"/>
      <c r="G72" s="446"/>
      <c r="H72" s="446"/>
      <c r="I72" s="447" t="s">
        <v>984</v>
      </c>
      <c r="J72" s="448" t="s">
        <v>985</v>
      </c>
      <c r="K72" s="449" t="s">
        <v>862</v>
      </c>
      <c r="L72" s="450" t="s">
        <v>852</v>
      </c>
      <c r="M72" s="451">
        <v>109964</v>
      </c>
      <c r="N72" s="452">
        <f t="shared" si="0"/>
        <v>109964</v>
      </c>
      <c r="O72" s="453" t="s">
        <v>101</v>
      </c>
      <c r="P72" s="454">
        <v>0</v>
      </c>
      <c r="Q72" s="455">
        <v>0</v>
      </c>
      <c r="R72" s="386">
        <v>0</v>
      </c>
      <c r="S72" s="386">
        <v>0</v>
      </c>
      <c r="T72" s="386">
        <f t="shared" si="1"/>
        <v>109964</v>
      </c>
      <c r="U72" s="456"/>
    </row>
    <row r="73" spans="1:21" ht="105">
      <c r="A73" s="444">
        <f t="shared" si="2"/>
        <v>60</v>
      </c>
      <c r="B73" s="445"/>
      <c r="C73" s="446"/>
      <c r="D73" s="446"/>
      <c r="E73" s="446"/>
      <c r="F73" s="446"/>
      <c r="G73" s="446"/>
      <c r="H73" s="446"/>
      <c r="I73" s="447" t="s">
        <v>986</v>
      </c>
      <c r="J73" s="448" t="s">
        <v>987</v>
      </c>
      <c r="K73" s="449" t="s">
        <v>862</v>
      </c>
      <c r="L73" s="450" t="s">
        <v>852</v>
      </c>
      <c r="M73" s="451">
        <v>109964</v>
      </c>
      <c r="N73" s="452">
        <f t="shared" si="0"/>
        <v>109964</v>
      </c>
      <c r="O73" s="453" t="s">
        <v>101</v>
      </c>
      <c r="P73" s="454">
        <v>0</v>
      </c>
      <c r="Q73" s="455">
        <v>0</v>
      </c>
      <c r="R73" s="386">
        <v>0</v>
      </c>
      <c r="S73" s="386">
        <v>0</v>
      </c>
      <c r="T73" s="386">
        <f t="shared" ref="T73:T136" si="3">N73-R73-S73</f>
        <v>109964</v>
      </c>
      <c r="U73" s="456"/>
    </row>
    <row r="74" spans="1:21" ht="105">
      <c r="A74" s="444">
        <f t="shared" si="2"/>
        <v>61</v>
      </c>
      <c r="B74" s="445"/>
      <c r="C74" s="446"/>
      <c r="D74" s="446"/>
      <c r="E74" s="446"/>
      <c r="F74" s="446"/>
      <c r="G74" s="446"/>
      <c r="H74" s="446"/>
      <c r="I74" s="447" t="s">
        <v>988</v>
      </c>
      <c r="J74" s="448" t="s">
        <v>989</v>
      </c>
      <c r="K74" s="449" t="s">
        <v>862</v>
      </c>
      <c r="L74" s="450" t="s">
        <v>852</v>
      </c>
      <c r="M74" s="451">
        <v>109964</v>
      </c>
      <c r="N74" s="452">
        <f t="shared" si="0"/>
        <v>109964</v>
      </c>
      <c r="O74" s="453" t="s">
        <v>101</v>
      </c>
      <c r="P74" s="454">
        <v>0</v>
      </c>
      <c r="Q74" s="455">
        <v>0</v>
      </c>
      <c r="R74" s="386">
        <v>0</v>
      </c>
      <c r="S74" s="386">
        <v>0</v>
      </c>
      <c r="T74" s="386">
        <f t="shared" si="3"/>
        <v>109964</v>
      </c>
      <c r="U74" s="456"/>
    </row>
    <row r="75" spans="1:21" ht="105">
      <c r="A75" s="444">
        <f t="shared" si="2"/>
        <v>62</v>
      </c>
      <c r="B75" s="445"/>
      <c r="C75" s="446"/>
      <c r="D75" s="446"/>
      <c r="E75" s="446"/>
      <c r="F75" s="446"/>
      <c r="G75" s="446"/>
      <c r="H75" s="446"/>
      <c r="I75" s="447" t="s">
        <v>990</v>
      </c>
      <c r="J75" s="448" t="s">
        <v>991</v>
      </c>
      <c r="K75" s="449" t="s">
        <v>862</v>
      </c>
      <c r="L75" s="450" t="s">
        <v>852</v>
      </c>
      <c r="M75" s="451">
        <v>134400</v>
      </c>
      <c r="N75" s="452">
        <f t="shared" si="0"/>
        <v>134400</v>
      </c>
      <c r="O75" s="453" t="s">
        <v>101</v>
      </c>
      <c r="P75" s="454">
        <v>0</v>
      </c>
      <c r="Q75" s="455">
        <v>0</v>
      </c>
      <c r="R75" s="386">
        <v>0</v>
      </c>
      <c r="S75" s="386">
        <v>0</v>
      </c>
      <c r="T75" s="386">
        <f t="shared" si="3"/>
        <v>134400</v>
      </c>
      <c r="U75" s="456"/>
    </row>
    <row r="76" spans="1:21" ht="120">
      <c r="A76" s="444">
        <f t="shared" si="2"/>
        <v>63</v>
      </c>
      <c r="B76" s="445"/>
      <c r="C76" s="446"/>
      <c r="D76" s="446"/>
      <c r="E76" s="446"/>
      <c r="F76" s="446"/>
      <c r="G76" s="446"/>
      <c r="H76" s="446"/>
      <c r="I76" s="447" t="s">
        <v>992</v>
      </c>
      <c r="J76" s="448" t="s">
        <v>993</v>
      </c>
      <c r="K76" s="449" t="s">
        <v>862</v>
      </c>
      <c r="L76" s="450" t="s">
        <v>852</v>
      </c>
      <c r="M76" s="451">
        <v>134400</v>
      </c>
      <c r="N76" s="452">
        <f t="shared" si="0"/>
        <v>134400</v>
      </c>
      <c r="O76" s="453" t="s">
        <v>101</v>
      </c>
      <c r="P76" s="454">
        <v>0</v>
      </c>
      <c r="Q76" s="455">
        <v>0</v>
      </c>
      <c r="R76" s="386">
        <v>0</v>
      </c>
      <c r="S76" s="386">
        <v>0</v>
      </c>
      <c r="T76" s="386">
        <f t="shared" si="3"/>
        <v>134400</v>
      </c>
      <c r="U76" s="456"/>
    </row>
    <row r="77" spans="1:21" ht="135">
      <c r="A77" s="444">
        <f t="shared" si="2"/>
        <v>64</v>
      </c>
      <c r="B77" s="445"/>
      <c r="C77" s="446"/>
      <c r="D77" s="446"/>
      <c r="E77" s="446"/>
      <c r="F77" s="446"/>
      <c r="G77" s="446"/>
      <c r="H77" s="446"/>
      <c r="I77" s="447" t="s">
        <v>994</v>
      </c>
      <c r="J77" s="448" t="s">
        <v>995</v>
      </c>
      <c r="K77" s="449" t="s">
        <v>862</v>
      </c>
      <c r="L77" s="450" t="s">
        <v>852</v>
      </c>
      <c r="M77" s="451">
        <v>134400</v>
      </c>
      <c r="N77" s="452">
        <f t="shared" si="0"/>
        <v>134400</v>
      </c>
      <c r="O77" s="453" t="s">
        <v>101</v>
      </c>
      <c r="P77" s="454">
        <v>0</v>
      </c>
      <c r="Q77" s="455">
        <v>0</v>
      </c>
      <c r="R77" s="386">
        <v>0</v>
      </c>
      <c r="S77" s="386">
        <v>0</v>
      </c>
      <c r="T77" s="386">
        <f t="shared" si="3"/>
        <v>134400</v>
      </c>
      <c r="U77" s="456"/>
    </row>
    <row r="78" spans="1:21" ht="120">
      <c r="A78" s="444">
        <f t="shared" si="2"/>
        <v>65</v>
      </c>
      <c r="B78" s="445"/>
      <c r="C78" s="446"/>
      <c r="D78" s="446"/>
      <c r="E78" s="446"/>
      <c r="F78" s="446"/>
      <c r="G78" s="446"/>
      <c r="H78" s="446"/>
      <c r="I78" s="447" t="s">
        <v>996</v>
      </c>
      <c r="J78" s="448" t="s">
        <v>997</v>
      </c>
      <c r="K78" s="449" t="s">
        <v>862</v>
      </c>
      <c r="L78" s="450" t="s">
        <v>852</v>
      </c>
      <c r="M78" s="451">
        <v>134400</v>
      </c>
      <c r="N78" s="452">
        <f t="shared" si="0"/>
        <v>134400</v>
      </c>
      <c r="O78" s="453" t="s">
        <v>101</v>
      </c>
      <c r="P78" s="454">
        <v>0</v>
      </c>
      <c r="Q78" s="455">
        <v>0</v>
      </c>
      <c r="R78" s="386">
        <v>0</v>
      </c>
      <c r="S78" s="386">
        <v>0</v>
      </c>
      <c r="T78" s="386">
        <f t="shared" si="3"/>
        <v>134400</v>
      </c>
      <c r="U78" s="456"/>
    </row>
    <row r="79" spans="1:21" ht="105">
      <c r="A79" s="444">
        <f t="shared" si="2"/>
        <v>66</v>
      </c>
      <c r="B79" s="445"/>
      <c r="C79" s="446"/>
      <c r="D79" s="446"/>
      <c r="E79" s="446"/>
      <c r="F79" s="446"/>
      <c r="G79" s="446"/>
      <c r="H79" s="446"/>
      <c r="I79" s="447" t="s">
        <v>998</v>
      </c>
      <c r="J79" s="448" t="s">
        <v>999</v>
      </c>
      <c r="K79" s="449" t="s">
        <v>862</v>
      </c>
      <c r="L79" s="450" t="s">
        <v>852</v>
      </c>
      <c r="M79" s="451">
        <v>134400</v>
      </c>
      <c r="N79" s="452">
        <f t="shared" si="0"/>
        <v>134400</v>
      </c>
      <c r="O79" s="453" t="s">
        <v>101</v>
      </c>
      <c r="P79" s="454">
        <v>0</v>
      </c>
      <c r="Q79" s="455">
        <v>0</v>
      </c>
      <c r="R79" s="386">
        <v>0</v>
      </c>
      <c r="S79" s="386">
        <v>0</v>
      </c>
      <c r="T79" s="386">
        <f t="shared" si="3"/>
        <v>134400</v>
      </c>
      <c r="U79" s="456"/>
    </row>
    <row r="80" spans="1:21" ht="105">
      <c r="A80" s="444">
        <f t="shared" ref="A80:A143" si="4">A79+1</f>
        <v>67</v>
      </c>
      <c r="B80" s="445"/>
      <c r="C80" s="446"/>
      <c r="D80" s="446"/>
      <c r="E80" s="446"/>
      <c r="F80" s="446"/>
      <c r="G80" s="446"/>
      <c r="H80" s="446"/>
      <c r="I80" s="447" t="s">
        <v>1000</v>
      </c>
      <c r="J80" s="448" t="s">
        <v>1001</v>
      </c>
      <c r="K80" s="449" t="s">
        <v>862</v>
      </c>
      <c r="L80" s="450" t="s">
        <v>852</v>
      </c>
      <c r="M80" s="451">
        <v>134400</v>
      </c>
      <c r="N80" s="452">
        <f t="shared" si="0"/>
        <v>134400</v>
      </c>
      <c r="O80" s="453" t="s">
        <v>101</v>
      </c>
      <c r="P80" s="454">
        <v>0</v>
      </c>
      <c r="Q80" s="455">
        <v>0</v>
      </c>
      <c r="R80" s="386">
        <v>0</v>
      </c>
      <c r="S80" s="386">
        <v>0</v>
      </c>
      <c r="T80" s="386">
        <f t="shared" si="3"/>
        <v>134400</v>
      </c>
      <c r="U80" s="456"/>
    </row>
    <row r="81" spans="1:21" ht="105">
      <c r="A81" s="444">
        <f t="shared" si="4"/>
        <v>68</v>
      </c>
      <c r="B81" s="445"/>
      <c r="C81" s="446"/>
      <c r="D81" s="446"/>
      <c r="E81" s="446"/>
      <c r="F81" s="446"/>
      <c r="G81" s="446"/>
      <c r="H81" s="446"/>
      <c r="I81" s="447" t="s">
        <v>1002</v>
      </c>
      <c r="J81" s="448" t="s">
        <v>1003</v>
      </c>
      <c r="K81" s="449" t="s">
        <v>862</v>
      </c>
      <c r="L81" s="450" t="s">
        <v>852</v>
      </c>
      <c r="M81" s="451">
        <v>134400</v>
      </c>
      <c r="N81" s="452">
        <f t="shared" si="0"/>
        <v>134400</v>
      </c>
      <c r="O81" s="453" t="s">
        <v>101</v>
      </c>
      <c r="P81" s="454">
        <v>0</v>
      </c>
      <c r="Q81" s="455">
        <v>0</v>
      </c>
      <c r="R81" s="386">
        <v>0</v>
      </c>
      <c r="S81" s="386">
        <v>0</v>
      </c>
      <c r="T81" s="386">
        <f t="shared" si="3"/>
        <v>134400</v>
      </c>
      <c r="U81" s="456"/>
    </row>
    <row r="82" spans="1:21" ht="105">
      <c r="A82" s="444">
        <f t="shared" si="4"/>
        <v>69</v>
      </c>
      <c r="B82" s="445"/>
      <c r="C82" s="446"/>
      <c r="D82" s="446"/>
      <c r="E82" s="446"/>
      <c r="F82" s="446"/>
      <c r="G82" s="446"/>
      <c r="H82" s="446"/>
      <c r="I82" s="447" t="s">
        <v>1004</v>
      </c>
      <c r="J82" s="448" t="s">
        <v>1005</v>
      </c>
      <c r="K82" s="449" t="s">
        <v>862</v>
      </c>
      <c r="L82" s="450" t="s">
        <v>852</v>
      </c>
      <c r="M82" s="451">
        <v>134400</v>
      </c>
      <c r="N82" s="452">
        <f t="shared" si="0"/>
        <v>134400</v>
      </c>
      <c r="O82" s="453" t="s">
        <v>101</v>
      </c>
      <c r="P82" s="454">
        <v>0</v>
      </c>
      <c r="Q82" s="455">
        <v>0</v>
      </c>
      <c r="R82" s="386">
        <v>0</v>
      </c>
      <c r="S82" s="386">
        <v>0</v>
      </c>
      <c r="T82" s="386">
        <f t="shared" si="3"/>
        <v>134400</v>
      </c>
      <c r="U82" s="456"/>
    </row>
    <row r="83" spans="1:21" ht="105">
      <c r="A83" s="444">
        <f t="shared" si="4"/>
        <v>70</v>
      </c>
      <c r="B83" s="445"/>
      <c r="C83" s="446"/>
      <c r="D83" s="446"/>
      <c r="E83" s="446"/>
      <c r="F83" s="446"/>
      <c r="G83" s="446"/>
      <c r="H83" s="446"/>
      <c r="I83" s="447" t="s">
        <v>1006</v>
      </c>
      <c r="J83" s="448" t="s">
        <v>1007</v>
      </c>
      <c r="K83" s="449" t="s">
        <v>862</v>
      </c>
      <c r="L83" s="450" t="s">
        <v>852</v>
      </c>
      <c r="M83" s="451">
        <v>134400</v>
      </c>
      <c r="N83" s="452">
        <f t="shared" si="0"/>
        <v>134400</v>
      </c>
      <c r="O83" s="453" t="s">
        <v>101</v>
      </c>
      <c r="P83" s="454">
        <v>0</v>
      </c>
      <c r="Q83" s="455">
        <v>0</v>
      </c>
      <c r="R83" s="386">
        <v>0</v>
      </c>
      <c r="S83" s="386">
        <v>0</v>
      </c>
      <c r="T83" s="386">
        <f t="shared" si="3"/>
        <v>134400</v>
      </c>
      <c r="U83" s="456"/>
    </row>
    <row r="84" spans="1:21" ht="105">
      <c r="A84" s="444">
        <f t="shared" si="4"/>
        <v>71</v>
      </c>
      <c r="B84" s="445"/>
      <c r="C84" s="446"/>
      <c r="D84" s="446"/>
      <c r="E84" s="446"/>
      <c r="F84" s="446"/>
      <c r="G84" s="446"/>
      <c r="H84" s="446"/>
      <c r="I84" s="447" t="s">
        <v>1008</v>
      </c>
      <c r="J84" s="448" t="s">
        <v>1009</v>
      </c>
      <c r="K84" s="449" t="s">
        <v>862</v>
      </c>
      <c r="L84" s="450" t="s">
        <v>852</v>
      </c>
      <c r="M84" s="451">
        <v>134400</v>
      </c>
      <c r="N84" s="452">
        <f t="shared" si="0"/>
        <v>134400</v>
      </c>
      <c r="O84" s="453" t="s">
        <v>101</v>
      </c>
      <c r="P84" s="454">
        <v>0</v>
      </c>
      <c r="Q84" s="455">
        <v>0</v>
      </c>
      <c r="R84" s="386">
        <v>0</v>
      </c>
      <c r="S84" s="386">
        <v>0</v>
      </c>
      <c r="T84" s="386">
        <f t="shared" si="3"/>
        <v>134400</v>
      </c>
      <c r="U84" s="456"/>
    </row>
    <row r="85" spans="1:21" ht="105">
      <c r="A85" s="444">
        <f t="shared" si="4"/>
        <v>72</v>
      </c>
      <c r="B85" s="445"/>
      <c r="C85" s="446"/>
      <c r="D85" s="446"/>
      <c r="E85" s="446"/>
      <c r="F85" s="446"/>
      <c r="G85" s="446"/>
      <c r="H85" s="446"/>
      <c r="I85" s="447" t="s">
        <v>1010</v>
      </c>
      <c r="J85" s="448" t="s">
        <v>1011</v>
      </c>
      <c r="K85" s="449" t="s">
        <v>862</v>
      </c>
      <c r="L85" s="450" t="s">
        <v>852</v>
      </c>
      <c r="M85" s="451">
        <v>156800</v>
      </c>
      <c r="N85" s="452">
        <f t="shared" si="0"/>
        <v>156800</v>
      </c>
      <c r="O85" s="453" t="s">
        <v>101</v>
      </c>
      <c r="P85" s="454">
        <v>0</v>
      </c>
      <c r="Q85" s="455">
        <v>0</v>
      </c>
      <c r="R85" s="386">
        <v>0</v>
      </c>
      <c r="S85" s="386">
        <v>0</v>
      </c>
      <c r="T85" s="386">
        <f t="shared" si="3"/>
        <v>156800</v>
      </c>
      <c r="U85" s="456"/>
    </row>
    <row r="86" spans="1:21" ht="105">
      <c r="A86" s="444">
        <f t="shared" si="4"/>
        <v>73</v>
      </c>
      <c r="B86" s="445"/>
      <c r="C86" s="446"/>
      <c r="D86" s="446"/>
      <c r="E86" s="446"/>
      <c r="F86" s="446"/>
      <c r="G86" s="446"/>
      <c r="H86" s="446"/>
      <c r="I86" s="447" t="s">
        <v>1012</v>
      </c>
      <c r="J86" s="448" t="s">
        <v>1013</v>
      </c>
      <c r="K86" s="449" t="s">
        <v>862</v>
      </c>
      <c r="L86" s="450" t="s">
        <v>852</v>
      </c>
      <c r="M86" s="451">
        <v>156800</v>
      </c>
      <c r="N86" s="452">
        <f>M86</f>
        <v>156800</v>
      </c>
      <c r="O86" s="453" t="s">
        <v>101</v>
      </c>
      <c r="P86" s="454">
        <v>0</v>
      </c>
      <c r="Q86" s="455">
        <v>0</v>
      </c>
      <c r="R86" s="386">
        <v>0</v>
      </c>
      <c r="S86" s="386">
        <v>0</v>
      </c>
      <c r="T86" s="386">
        <f t="shared" si="3"/>
        <v>156800</v>
      </c>
      <c r="U86" s="456"/>
    </row>
    <row r="87" spans="1:21" ht="105">
      <c r="A87" s="444">
        <f t="shared" si="4"/>
        <v>74</v>
      </c>
      <c r="B87" s="445"/>
      <c r="C87" s="446"/>
      <c r="D87" s="446"/>
      <c r="E87" s="446"/>
      <c r="F87" s="446"/>
      <c r="G87" s="446"/>
      <c r="H87" s="446"/>
      <c r="I87" s="447" t="s">
        <v>1014</v>
      </c>
      <c r="J87" s="448" t="s">
        <v>1015</v>
      </c>
      <c r="K87" s="449" t="s">
        <v>862</v>
      </c>
      <c r="L87" s="450" t="s">
        <v>852</v>
      </c>
      <c r="M87" s="451">
        <v>156800</v>
      </c>
      <c r="N87" s="452">
        <f>M87</f>
        <v>156800</v>
      </c>
      <c r="O87" s="453" t="s">
        <v>101</v>
      </c>
      <c r="P87" s="454">
        <v>0</v>
      </c>
      <c r="Q87" s="455">
        <v>0</v>
      </c>
      <c r="R87" s="386">
        <v>0</v>
      </c>
      <c r="S87" s="386">
        <v>0</v>
      </c>
      <c r="T87" s="386">
        <f t="shared" si="3"/>
        <v>156800</v>
      </c>
      <c r="U87" s="456"/>
    </row>
    <row r="88" spans="1:21" ht="105">
      <c r="A88" s="444">
        <f t="shared" si="4"/>
        <v>75</v>
      </c>
      <c r="B88" s="445"/>
      <c r="C88" s="446"/>
      <c r="D88" s="446"/>
      <c r="E88" s="446"/>
      <c r="F88" s="446"/>
      <c r="G88" s="446"/>
      <c r="H88" s="446"/>
      <c r="I88" s="447" t="s">
        <v>1016</v>
      </c>
      <c r="J88" s="448" t="s">
        <v>1017</v>
      </c>
      <c r="K88" s="449" t="s">
        <v>862</v>
      </c>
      <c r="L88" s="450" t="s">
        <v>852</v>
      </c>
      <c r="M88" s="451">
        <v>156800</v>
      </c>
      <c r="N88" s="452">
        <f>M88</f>
        <v>156800</v>
      </c>
      <c r="O88" s="453" t="s">
        <v>101</v>
      </c>
      <c r="P88" s="454">
        <v>0</v>
      </c>
      <c r="Q88" s="455">
        <v>0</v>
      </c>
      <c r="R88" s="386">
        <v>0</v>
      </c>
      <c r="S88" s="386">
        <v>0</v>
      </c>
      <c r="T88" s="386">
        <f t="shared" si="3"/>
        <v>156800</v>
      </c>
      <c r="U88" s="456"/>
    </row>
    <row r="89" spans="1:21" ht="105">
      <c r="A89" s="444">
        <f t="shared" si="4"/>
        <v>76</v>
      </c>
      <c r="B89" s="445"/>
      <c r="C89" s="446"/>
      <c r="D89" s="446"/>
      <c r="E89" s="446"/>
      <c r="F89" s="446"/>
      <c r="G89" s="446"/>
      <c r="H89" s="446"/>
      <c r="I89" s="447" t="s">
        <v>1018</v>
      </c>
      <c r="J89" s="448" t="s">
        <v>1019</v>
      </c>
      <c r="K89" s="449" t="s">
        <v>862</v>
      </c>
      <c r="L89" s="450" t="s">
        <v>852</v>
      </c>
      <c r="M89" s="451">
        <v>156800</v>
      </c>
      <c r="N89" s="452">
        <f>M89</f>
        <v>156800</v>
      </c>
      <c r="O89" s="453" t="s">
        <v>101</v>
      </c>
      <c r="P89" s="454">
        <v>0</v>
      </c>
      <c r="Q89" s="455">
        <v>0</v>
      </c>
      <c r="R89" s="386">
        <v>0</v>
      </c>
      <c r="S89" s="386">
        <v>0</v>
      </c>
      <c r="T89" s="386">
        <f t="shared" si="3"/>
        <v>156800</v>
      </c>
      <c r="U89" s="456"/>
    </row>
    <row r="90" spans="1:21" ht="105">
      <c r="A90" s="444">
        <f t="shared" si="4"/>
        <v>77</v>
      </c>
      <c r="B90" s="445"/>
      <c r="C90" s="446"/>
      <c r="D90" s="446"/>
      <c r="E90" s="446"/>
      <c r="F90" s="446"/>
      <c r="G90" s="446"/>
      <c r="H90" s="446"/>
      <c r="I90" s="447" t="s">
        <v>1020</v>
      </c>
      <c r="J90" s="448" t="s">
        <v>1021</v>
      </c>
      <c r="K90" s="449" t="s">
        <v>862</v>
      </c>
      <c r="L90" s="450" t="s">
        <v>852</v>
      </c>
      <c r="M90" s="451">
        <v>156800</v>
      </c>
      <c r="N90" s="452">
        <f>M90</f>
        <v>156800</v>
      </c>
      <c r="O90" s="453" t="s">
        <v>101</v>
      </c>
      <c r="P90" s="454">
        <v>0</v>
      </c>
      <c r="Q90" s="455">
        <v>0</v>
      </c>
      <c r="R90" s="386">
        <v>0</v>
      </c>
      <c r="S90" s="386">
        <v>0</v>
      </c>
      <c r="T90" s="386">
        <f t="shared" si="3"/>
        <v>156800</v>
      </c>
      <c r="U90" s="456"/>
    </row>
    <row r="91" spans="1:21" ht="105">
      <c r="A91" s="444">
        <f t="shared" si="4"/>
        <v>78</v>
      </c>
      <c r="B91" s="445"/>
      <c r="C91" s="446"/>
      <c r="D91" s="446"/>
      <c r="E91" s="446"/>
      <c r="F91" s="446"/>
      <c r="G91" s="446"/>
      <c r="H91" s="446"/>
      <c r="I91" s="447" t="s">
        <v>1022</v>
      </c>
      <c r="J91" s="448" t="s">
        <v>1023</v>
      </c>
      <c r="K91" s="449" t="s">
        <v>862</v>
      </c>
      <c r="L91" s="450" t="s">
        <v>852</v>
      </c>
      <c r="M91" s="451">
        <v>155100</v>
      </c>
      <c r="N91" s="452">
        <f t="shared" si="0"/>
        <v>155100</v>
      </c>
      <c r="O91" s="453" t="s">
        <v>101</v>
      </c>
      <c r="P91" s="454">
        <v>0</v>
      </c>
      <c r="Q91" s="455">
        <v>0</v>
      </c>
      <c r="R91" s="386">
        <v>0</v>
      </c>
      <c r="S91" s="386">
        <v>0</v>
      </c>
      <c r="T91" s="386">
        <f t="shared" si="3"/>
        <v>155100</v>
      </c>
      <c r="U91" s="456"/>
    </row>
    <row r="92" spans="1:21" ht="105">
      <c r="A92" s="444">
        <f t="shared" si="4"/>
        <v>79</v>
      </c>
      <c r="B92" s="445"/>
      <c r="C92" s="446"/>
      <c r="D92" s="446"/>
      <c r="E92" s="446"/>
      <c r="F92" s="446"/>
      <c r="G92" s="446"/>
      <c r="H92" s="446"/>
      <c r="I92" s="447" t="s">
        <v>1024</v>
      </c>
      <c r="J92" s="448" t="s">
        <v>1025</v>
      </c>
      <c r="K92" s="449" t="s">
        <v>862</v>
      </c>
      <c r="L92" s="450" t="s">
        <v>852</v>
      </c>
      <c r="M92" s="451">
        <v>155100</v>
      </c>
      <c r="N92" s="452">
        <f t="shared" si="0"/>
        <v>155100</v>
      </c>
      <c r="O92" s="453" t="s">
        <v>101</v>
      </c>
      <c r="P92" s="454">
        <v>0</v>
      </c>
      <c r="Q92" s="455">
        <v>0</v>
      </c>
      <c r="R92" s="386">
        <v>0</v>
      </c>
      <c r="S92" s="386">
        <v>0</v>
      </c>
      <c r="T92" s="386">
        <f t="shared" si="3"/>
        <v>155100</v>
      </c>
      <c r="U92" s="456"/>
    </row>
    <row r="93" spans="1:21" ht="105">
      <c r="A93" s="444">
        <f t="shared" si="4"/>
        <v>80</v>
      </c>
      <c r="B93" s="445"/>
      <c r="C93" s="446"/>
      <c r="D93" s="446"/>
      <c r="E93" s="446"/>
      <c r="F93" s="446"/>
      <c r="G93" s="446"/>
      <c r="H93" s="446"/>
      <c r="I93" s="447" t="s">
        <v>1026</v>
      </c>
      <c r="J93" s="448" t="s">
        <v>1027</v>
      </c>
      <c r="K93" s="449" t="s">
        <v>862</v>
      </c>
      <c r="L93" s="450" t="s">
        <v>852</v>
      </c>
      <c r="M93" s="451">
        <v>155100</v>
      </c>
      <c r="N93" s="452">
        <f t="shared" si="0"/>
        <v>155100</v>
      </c>
      <c r="O93" s="453" t="s">
        <v>101</v>
      </c>
      <c r="P93" s="454">
        <v>0</v>
      </c>
      <c r="Q93" s="455">
        <v>0</v>
      </c>
      <c r="R93" s="386">
        <v>0</v>
      </c>
      <c r="S93" s="386">
        <v>0</v>
      </c>
      <c r="T93" s="386">
        <f t="shared" si="3"/>
        <v>155100</v>
      </c>
      <c r="U93" s="456"/>
    </row>
    <row r="94" spans="1:21" ht="105">
      <c r="A94" s="444">
        <f t="shared" si="4"/>
        <v>81</v>
      </c>
      <c r="B94" s="445"/>
      <c r="C94" s="446"/>
      <c r="D94" s="446"/>
      <c r="E94" s="446"/>
      <c r="F94" s="446"/>
      <c r="G94" s="446"/>
      <c r="H94" s="446"/>
      <c r="I94" s="447" t="s">
        <v>1028</v>
      </c>
      <c r="J94" s="448" t="s">
        <v>1029</v>
      </c>
      <c r="K94" s="449" t="s">
        <v>862</v>
      </c>
      <c r="L94" s="450" t="s">
        <v>852</v>
      </c>
      <c r="M94" s="451">
        <v>155100</v>
      </c>
      <c r="N94" s="452">
        <f t="shared" si="0"/>
        <v>155100</v>
      </c>
      <c r="O94" s="453" t="s">
        <v>101</v>
      </c>
      <c r="P94" s="454">
        <v>0</v>
      </c>
      <c r="Q94" s="455">
        <v>0</v>
      </c>
      <c r="R94" s="386">
        <v>0</v>
      </c>
      <c r="S94" s="386">
        <v>0</v>
      </c>
      <c r="T94" s="386">
        <f t="shared" si="3"/>
        <v>155100</v>
      </c>
      <c r="U94" s="456"/>
    </row>
    <row r="95" spans="1:21" ht="105">
      <c r="A95" s="444">
        <f t="shared" si="4"/>
        <v>82</v>
      </c>
      <c r="B95" s="445"/>
      <c r="C95" s="446"/>
      <c r="D95" s="446"/>
      <c r="E95" s="446"/>
      <c r="F95" s="446"/>
      <c r="G95" s="446"/>
      <c r="H95" s="446"/>
      <c r="I95" s="447" t="s">
        <v>1030</v>
      </c>
      <c r="J95" s="448" t="s">
        <v>1031</v>
      </c>
      <c r="K95" s="449" t="s">
        <v>862</v>
      </c>
      <c r="L95" s="450" t="s">
        <v>852</v>
      </c>
      <c r="M95" s="451">
        <v>155100</v>
      </c>
      <c r="N95" s="452">
        <f t="shared" si="0"/>
        <v>155100</v>
      </c>
      <c r="O95" s="453" t="s">
        <v>101</v>
      </c>
      <c r="P95" s="454">
        <v>0</v>
      </c>
      <c r="Q95" s="455">
        <v>0</v>
      </c>
      <c r="R95" s="386">
        <v>0</v>
      </c>
      <c r="S95" s="386">
        <v>0</v>
      </c>
      <c r="T95" s="386">
        <f t="shared" si="3"/>
        <v>155100</v>
      </c>
      <c r="U95" s="456"/>
    </row>
    <row r="96" spans="1:21" ht="120">
      <c r="A96" s="444">
        <f t="shared" si="4"/>
        <v>83</v>
      </c>
      <c r="B96" s="445"/>
      <c r="C96" s="446"/>
      <c r="D96" s="446"/>
      <c r="E96" s="446"/>
      <c r="F96" s="446"/>
      <c r="G96" s="446"/>
      <c r="H96" s="446"/>
      <c r="I96" s="447" t="s">
        <v>1032</v>
      </c>
      <c r="J96" s="448" t="s">
        <v>1033</v>
      </c>
      <c r="K96" s="449" t="s">
        <v>862</v>
      </c>
      <c r="L96" s="450" t="s">
        <v>852</v>
      </c>
      <c r="M96" s="451">
        <v>155100</v>
      </c>
      <c r="N96" s="452">
        <f t="shared" si="0"/>
        <v>155100</v>
      </c>
      <c r="O96" s="453" t="s">
        <v>101</v>
      </c>
      <c r="P96" s="454">
        <v>0</v>
      </c>
      <c r="Q96" s="455">
        <v>0</v>
      </c>
      <c r="R96" s="386">
        <v>0</v>
      </c>
      <c r="S96" s="386">
        <v>0</v>
      </c>
      <c r="T96" s="386">
        <f t="shared" si="3"/>
        <v>155100</v>
      </c>
      <c r="U96" s="456"/>
    </row>
    <row r="97" spans="1:21" ht="105">
      <c r="A97" s="444">
        <f t="shared" si="4"/>
        <v>84</v>
      </c>
      <c r="B97" s="445"/>
      <c r="C97" s="446"/>
      <c r="D97" s="446"/>
      <c r="E97" s="446"/>
      <c r="F97" s="446"/>
      <c r="G97" s="446"/>
      <c r="H97" s="446"/>
      <c r="I97" s="447" t="s">
        <v>1034</v>
      </c>
      <c r="J97" s="448" t="s">
        <v>1035</v>
      </c>
      <c r="K97" s="449" t="s">
        <v>862</v>
      </c>
      <c r="L97" s="450" t="s">
        <v>852</v>
      </c>
      <c r="M97" s="451">
        <v>155100</v>
      </c>
      <c r="N97" s="452">
        <f t="shared" si="0"/>
        <v>155100</v>
      </c>
      <c r="O97" s="453" t="s">
        <v>101</v>
      </c>
      <c r="P97" s="454">
        <v>0</v>
      </c>
      <c r="Q97" s="455">
        <v>0</v>
      </c>
      <c r="R97" s="386">
        <v>0</v>
      </c>
      <c r="S97" s="386">
        <v>0</v>
      </c>
      <c r="T97" s="386">
        <f t="shared" si="3"/>
        <v>155100</v>
      </c>
      <c r="U97" s="456"/>
    </row>
    <row r="98" spans="1:21" ht="105">
      <c r="A98" s="444">
        <f t="shared" si="4"/>
        <v>85</v>
      </c>
      <c r="B98" s="445"/>
      <c r="C98" s="446"/>
      <c r="D98" s="446"/>
      <c r="E98" s="446"/>
      <c r="F98" s="446"/>
      <c r="G98" s="446"/>
      <c r="H98" s="446"/>
      <c r="I98" s="447" t="s">
        <v>1036</v>
      </c>
      <c r="J98" s="448" t="s">
        <v>1037</v>
      </c>
      <c r="K98" s="449" t="s">
        <v>862</v>
      </c>
      <c r="L98" s="450" t="s">
        <v>852</v>
      </c>
      <c r="M98" s="451">
        <v>155100</v>
      </c>
      <c r="N98" s="452">
        <f t="shared" si="0"/>
        <v>155100</v>
      </c>
      <c r="O98" s="453" t="s">
        <v>101</v>
      </c>
      <c r="P98" s="454">
        <v>0</v>
      </c>
      <c r="Q98" s="455">
        <v>0</v>
      </c>
      <c r="R98" s="386">
        <v>0</v>
      </c>
      <c r="S98" s="386">
        <v>0</v>
      </c>
      <c r="T98" s="386">
        <f t="shared" si="3"/>
        <v>155100</v>
      </c>
      <c r="U98" s="456"/>
    </row>
    <row r="99" spans="1:21" ht="105">
      <c r="A99" s="444">
        <f t="shared" si="4"/>
        <v>86</v>
      </c>
      <c r="B99" s="445"/>
      <c r="C99" s="446"/>
      <c r="D99" s="446"/>
      <c r="E99" s="446"/>
      <c r="F99" s="446"/>
      <c r="G99" s="446"/>
      <c r="H99" s="446"/>
      <c r="I99" s="447" t="s">
        <v>1038</v>
      </c>
      <c r="J99" s="448" t="s">
        <v>1039</v>
      </c>
      <c r="K99" s="449" t="s">
        <v>862</v>
      </c>
      <c r="L99" s="450" t="s">
        <v>852</v>
      </c>
      <c r="M99" s="451">
        <v>155100</v>
      </c>
      <c r="N99" s="452">
        <f t="shared" si="0"/>
        <v>155100</v>
      </c>
      <c r="O99" s="453" t="s">
        <v>101</v>
      </c>
      <c r="P99" s="454">
        <v>0</v>
      </c>
      <c r="Q99" s="455">
        <v>0</v>
      </c>
      <c r="R99" s="386">
        <v>0</v>
      </c>
      <c r="S99" s="386">
        <v>0</v>
      </c>
      <c r="T99" s="386">
        <f t="shared" si="3"/>
        <v>155100</v>
      </c>
      <c r="U99" s="456"/>
    </row>
    <row r="100" spans="1:21" ht="105">
      <c r="A100" s="444">
        <f t="shared" si="4"/>
        <v>87</v>
      </c>
      <c r="B100" s="445"/>
      <c r="C100" s="446"/>
      <c r="D100" s="446"/>
      <c r="E100" s="446"/>
      <c r="F100" s="446"/>
      <c r="G100" s="446"/>
      <c r="H100" s="446"/>
      <c r="I100" s="447" t="s">
        <v>1040</v>
      </c>
      <c r="J100" s="448" t="s">
        <v>1041</v>
      </c>
      <c r="K100" s="449" t="s">
        <v>862</v>
      </c>
      <c r="L100" s="450" t="s">
        <v>852</v>
      </c>
      <c r="M100" s="451">
        <v>155100</v>
      </c>
      <c r="N100" s="452">
        <f t="shared" si="0"/>
        <v>155100</v>
      </c>
      <c r="O100" s="453" t="s">
        <v>101</v>
      </c>
      <c r="P100" s="454">
        <v>0</v>
      </c>
      <c r="Q100" s="455">
        <v>0</v>
      </c>
      <c r="R100" s="386">
        <v>0</v>
      </c>
      <c r="S100" s="386">
        <v>0</v>
      </c>
      <c r="T100" s="386">
        <f t="shared" si="3"/>
        <v>155100</v>
      </c>
      <c r="U100" s="456"/>
    </row>
    <row r="101" spans="1:21" ht="105">
      <c r="A101" s="444">
        <f t="shared" si="4"/>
        <v>88</v>
      </c>
      <c r="B101" s="445"/>
      <c r="C101" s="446"/>
      <c r="D101" s="446"/>
      <c r="E101" s="446"/>
      <c r="F101" s="446"/>
      <c r="G101" s="446"/>
      <c r="H101" s="446"/>
      <c r="I101" s="447" t="s">
        <v>1042</v>
      </c>
      <c r="J101" s="448" t="s">
        <v>1043</v>
      </c>
      <c r="K101" s="449" t="s">
        <v>862</v>
      </c>
      <c r="L101" s="450" t="s">
        <v>852</v>
      </c>
      <c r="M101" s="451">
        <v>155100</v>
      </c>
      <c r="N101" s="452">
        <f t="shared" si="0"/>
        <v>155100</v>
      </c>
      <c r="O101" s="453" t="s">
        <v>101</v>
      </c>
      <c r="P101" s="454">
        <v>0</v>
      </c>
      <c r="Q101" s="455">
        <v>0</v>
      </c>
      <c r="R101" s="386">
        <v>0</v>
      </c>
      <c r="S101" s="386">
        <v>0</v>
      </c>
      <c r="T101" s="386">
        <f t="shared" si="3"/>
        <v>155100</v>
      </c>
      <c r="U101" s="456"/>
    </row>
    <row r="102" spans="1:21" ht="105">
      <c r="A102" s="444">
        <f t="shared" si="4"/>
        <v>89</v>
      </c>
      <c r="B102" s="445"/>
      <c r="C102" s="446"/>
      <c r="D102" s="446"/>
      <c r="E102" s="446"/>
      <c r="F102" s="446"/>
      <c r="G102" s="446"/>
      <c r="H102" s="446"/>
      <c r="I102" s="447" t="s">
        <v>1044</v>
      </c>
      <c r="J102" s="448" t="s">
        <v>1045</v>
      </c>
      <c r="K102" s="449" t="s">
        <v>862</v>
      </c>
      <c r="L102" s="450" t="s">
        <v>852</v>
      </c>
      <c r="M102" s="451">
        <v>155100</v>
      </c>
      <c r="N102" s="452">
        <f t="shared" si="0"/>
        <v>155100</v>
      </c>
      <c r="O102" s="453" t="s">
        <v>101</v>
      </c>
      <c r="P102" s="454">
        <v>0</v>
      </c>
      <c r="Q102" s="455">
        <v>0</v>
      </c>
      <c r="R102" s="386">
        <v>0</v>
      </c>
      <c r="S102" s="386">
        <v>0</v>
      </c>
      <c r="T102" s="386">
        <f t="shared" si="3"/>
        <v>155100</v>
      </c>
      <c r="U102" s="456"/>
    </row>
    <row r="103" spans="1:21" ht="105">
      <c r="A103" s="444">
        <f t="shared" si="4"/>
        <v>90</v>
      </c>
      <c r="B103" s="445"/>
      <c r="C103" s="446"/>
      <c r="D103" s="446"/>
      <c r="E103" s="446"/>
      <c r="F103" s="446"/>
      <c r="G103" s="446"/>
      <c r="H103" s="446"/>
      <c r="I103" s="447" t="s">
        <v>1046</v>
      </c>
      <c r="J103" s="448" t="s">
        <v>1047</v>
      </c>
      <c r="K103" s="449" t="s">
        <v>862</v>
      </c>
      <c r="L103" s="450" t="s">
        <v>852</v>
      </c>
      <c r="M103" s="451">
        <v>155100</v>
      </c>
      <c r="N103" s="452">
        <f t="shared" si="0"/>
        <v>155100</v>
      </c>
      <c r="O103" s="453" t="s">
        <v>101</v>
      </c>
      <c r="P103" s="454">
        <v>0</v>
      </c>
      <c r="Q103" s="455">
        <v>0</v>
      </c>
      <c r="R103" s="386">
        <v>0</v>
      </c>
      <c r="S103" s="386">
        <v>0</v>
      </c>
      <c r="T103" s="386">
        <f t="shared" si="3"/>
        <v>155100</v>
      </c>
      <c r="U103" s="456"/>
    </row>
    <row r="104" spans="1:21" ht="45">
      <c r="A104" s="444">
        <f t="shared" si="4"/>
        <v>91</v>
      </c>
      <c r="B104" s="445"/>
      <c r="C104" s="446"/>
      <c r="D104" s="446"/>
      <c r="E104" s="446"/>
      <c r="F104" s="446"/>
      <c r="G104" s="446"/>
      <c r="H104" s="446"/>
      <c r="I104" s="447" t="s">
        <v>1048</v>
      </c>
      <c r="J104" s="448" t="s">
        <v>1049</v>
      </c>
      <c r="K104" s="449" t="s">
        <v>901</v>
      </c>
      <c r="L104" s="450" t="s">
        <v>852</v>
      </c>
      <c r="M104" s="451">
        <v>240000</v>
      </c>
      <c r="N104" s="452">
        <f t="shared" si="0"/>
        <v>240000</v>
      </c>
      <c r="O104" s="453" t="s">
        <v>101</v>
      </c>
      <c r="P104" s="454">
        <v>0</v>
      </c>
      <c r="Q104" s="455">
        <v>0</v>
      </c>
      <c r="R104" s="386">
        <v>0</v>
      </c>
      <c r="S104" s="386">
        <v>0</v>
      </c>
      <c r="T104" s="386">
        <f t="shared" si="3"/>
        <v>240000</v>
      </c>
      <c r="U104" s="456"/>
    </row>
    <row r="105" spans="1:21" ht="75">
      <c r="A105" s="444">
        <f t="shared" si="4"/>
        <v>92</v>
      </c>
      <c r="B105" s="445"/>
      <c r="C105" s="446"/>
      <c r="D105" s="446"/>
      <c r="E105" s="446"/>
      <c r="F105" s="446"/>
      <c r="G105" s="446"/>
      <c r="H105" s="446"/>
      <c r="I105" s="447" t="s">
        <v>1050</v>
      </c>
      <c r="J105" s="448" t="s">
        <v>1051</v>
      </c>
      <c r="K105" s="449" t="s">
        <v>901</v>
      </c>
      <c r="L105" s="450" t="s">
        <v>852</v>
      </c>
      <c r="M105" s="451">
        <v>420000</v>
      </c>
      <c r="N105" s="452">
        <f t="shared" si="0"/>
        <v>420000</v>
      </c>
      <c r="O105" s="453" t="s">
        <v>101</v>
      </c>
      <c r="P105" s="454">
        <v>0</v>
      </c>
      <c r="Q105" s="455">
        <v>0</v>
      </c>
      <c r="R105" s="386">
        <v>0</v>
      </c>
      <c r="S105" s="386">
        <v>0</v>
      </c>
      <c r="T105" s="386">
        <f t="shared" si="3"/>
        <v>420000</v>
      </c>
      <c r="U105" s="456"/>
    </row>
    <row r="106" spans="1:21" ht="60">
      <c r="A106" s="444">
        <f t="shared" si="4"/>
        <v>93</v>
      </c>
      <c r="B106" s="445"/>
      <c r="C106" s="446"/>
      <c r="D106" s="446"/>
      <c r="E106" s="446"/>
      <c r="F106" s="446"/>
      <c r="G106" s="446"/>
      <c r="H106" s="446"/>
      <c r="I106" s="447" t="s">
        <v>1052</v>
      </c>
      <c r="J106" s="448" t="s">
        <v>1053</v>
      </c>
      <c r="K106" s="449" t="s">
        <v>851</v>
      </c>
      <c r="L106" s="450" t="s">
        <v>852</v>
      </c>
      <c r="M106" s="451">
        <v>2640000</v>
      </c>
      <c r="N106" s="452">
        <f t="shared" si="0"/>
        <v>2640000</v>
      </c>
      <c r="O106" s="453" t="s">
        <v>101</v>
      </c>
      <c r="P106" s="454">
        <v>0</v>
      </c>
      <c r="Q106" s="455">
        <v>0</v>
      </c>
      <c r="R106" s="386">
        <v>0</v>
      </c>
      <c r="S106" s="386">
        <v>0</v>
      </c>
      <c r="T106" s="386">
        <f t="shared" si="3"/>
        <v>2640000</v>
      </c>
      <c r="U106" s="456"/>
    </row>
    <row r="107" spans="1:21" ht="90">
      <c r="A107" s="444">
        <f t="shared" si="4"/>
        <v>94</v>
      </c>
      <c r="B107" s="445"/>
      <c r="C107" s="446"/>
      <c r="D107" s="446"/>
      <c r="E107" s="446"/>
      <c r="F107" s="446"/>
      <c r="G107" s="446"/>
      <c r="H107" s="446"/>
      <c r="I107" s="447" t="s">
        <v>1054</v>
      </c>
      <c r="J107" s="448" t="s">
        <v>1055</v>
      </c>
      <c r="K107" s="449" t="s">
        <v>1056</v>
      </c>
      <c r="L107" s="450" t="s">
        <v>852</v>
      </c>
      <c r="M107" s="451">
        <v>360000</v>
      </c>
      <c r="N107" s="452">
        <f t="shared" si="0"/>
        <v>360000</v>
      </c>
      <c r="O107" s="453" t="s">
        <v>101</v>
      </c>
      <c r="P107" s="454">
        <v>0</v>
      </c>
      <c r="Q107" s="455">
        <v>0</v>
      </c>
      <c r="R107" s="386">
        <v>0</v>
      </c>
      <c r="S107" s="386">
        <v>0</v>
      </c>
      <c r="T107" s="386">
        <f t="shared" si="3"/>
        <v>360000</v>
      </c>
      <c r="U107" s="456"/>
    </row>
    <row r="108" spans="1:21" ht="105">
      <c r="A108" s="444">
        <f t="shared" si="4"/>
        <v>95</v>
      </c>
      <c r="B108" s="445"/>
      <c r="C108" s="446"/>
      <c r="D108" s="446"/>
      <c r="E108" s="446"/>
      <c r="F108" s="446"/>
      <c r="G108" s="446"/>
      <c r="H108" s="446"/>
      <c r="I108" s="447" t="s">
        <v>1057</v>
      </c>
      <c r="J108" s="448" t="s">
        <v>1058</v>
      </c>
      <c r="K108" s="449" t="s">
        <v>862</v>
      </c>
      <c r="L108" s="450" t="s">
        <v>852</v>
      </c>
      <c r="M108" s="451">
        <v>100800</v>
      </c>
      <c r="N108" s="452">
        <f t="shared" si="0"/>
        <v>100800</v>
      </c>
      <c r="O108" s="453" t="s">
        <v>101</v>
      </c>
      <c r="P108" s="454">
        <v>0</v>
      </c>
      <c r="Q108" s="455">
        <v>0</v>
      </c>
      <c r="R108" s="386">
        <v>0</v>
      </c>
      <c r="S108" s="386">
        <v>0</v>
      </c>
      <c r="T108" s="386">
        <f t="shared" si="3"/>
        <v>100800</v>
      </c>
      <c r="U108" s="456"/>
    </row>
    <row r="109" spans="1:21" ht="105">
      <c r="A109" s="444">
        <f t="shared" si="4"/>
        <v>96</v>
      </c>
      <c r="B109" s="445"/>
      <c r="C109" s="446"/>
      <c r="D109" s="446"/>
      <c r="E109" s="446"/>
      <c r="F109" s="446"/>
      <c r="G109" s="446"/>
      <c r="H109" s="446"/>
      <c r="I109" s="447" t="s">
        <v>1059</v>
      </c>
      <c r="J109" s="448" t="s">
        <v>1060</v>
      </c>
      <c r="K109" s="449" t="s">
        <v>862</v>
      </c>
      <c r="L109" s="450" t="s">
        <v>852</v>
      </c>
      <c r="M109" s="451">
        <v>100800</v>
      </c>
      <c r="N109" s="452">
        <f>M109</f>
        <v>100800</v>
      </c>
      <c r="O109" s="453" t="s">
        <v>101</v>
      </c>
      <c r="P109" s="454">
        <v>0</v>
      </c>
      <c r="Q109" s="455">
        <v>0</v>
      </c>
      <c r="R109" s="386">
        <v>0</v>
      </c>
      <c r="S109" s="386">
        <v>0</v>
      </c>
      <c r="T109" s="386">
        <f t="shared" si="3"/>
        <v>100800</v>
      </c>
      <c r="U109" s="456"/>
    </row>
    <row r="110" spans="1:21" ht="105">
      <c r="A110" s="444">
        <f t="shared" si="4"/>
        <v>97</v>
      </c>
      <c r="B110" s="445"/>
      <c r="C110" s="446"/>
      <c r="D110" s="446"/>
      <c r="E110" s="446"/>
      <c r="F110" s="446"/>
      <c r="G110" s="446"/>
      <c r="H110" s="446"/>
      <c r="I110" s="447" t="s">
        <v>1061</v>
      </c>
      <c r="J110" s="448" t="s">
        <v>1062</v>
      </c>
      <c r="K110" s="449" t="s">
        <v>862</v>
      </c>
      <c r="L110" s="450" t="s">
        <v>852</v>
      </c>
      <c r="M110" s="451">
        <v>100800</v>
      </c>
      <c r="N110" s="452">
        <f>M110</f>
        <v>100800</v>
      </c>
      <c r="O110" s="453" t="s">
        <v>101</v>
      </c>
      <c r="P110" s="454">
        <v>0</v>
      </c>
      <c r="Q110" s="455">
        <v>0</v>
      </c>
      <c r="R110" s="386">
        <v>0</v>
      </c>
      <c r="S110" s="386">
        <v>0</v>
      </c>
      <c r="T110" s="386">
        <f t="shared" si="3"/>
        <v>100800</v>
      </c>
      <c r="U110" s="456"/>
    </row>
    <row r="111" spans="1:21" ht="105">
      <c r="A111" s="444">
        <f t="shared" si="4"/>
        <v>98</v>
      </c>
      <c r="B111" s="445"/>
      <c r="C111" s="446"/>
      <c r="D111" s="446"/>
      <c r="E111" s="446"/>
      <c r="F111" s="446"/>
      <c r="G111" s="446"/>
      <c r="H111" s="446"/>
      <c r="I111" s="447" t="s">
        <v>1063</v>
      </c>
      <c r="J111" s="448" t="s">
        <v>1064</v>
      </c>
      <c r="K111" s="449" t="s">
        <v>862</v>
      </c>
      <c r="L111" s="450" t="s">
        <v>852</v>
      </c>
      <c r="M111" s="451">
        <v>100800</v>
      </c>
      <c r="N111" s="452">
        <f>M111</f>
        <v>100800</v>
      </c>
      <c r="O111" s="453" t="s">
        <v>101</v>
      </c>
      <c r="P111" s="454">
        <v>0</v>
      </c>
      <c r="Q111" s="455">
        <v>0</v>
      </c>
      <c r="R111" s="386">
        <v>0</v>
      </c>
      <c r="S111" s="386">
        <v>0</v>
      </c>
      <c r="T111" s="386">
        <f t="shared" si="3"/>
        <v>100800</v>
      </c>
      <c r="U111" s="456"/>
    </row>
    <row r="112" spans="1:21" ht="75">
      <c r="A112" s="444">
        <f t="shared" si="4"/>
        <v>99</v>
      </c>
      <c r="B112" s="445"/>
      <c r="C112" s="446"/>
      <c r="D112" s="446"/>
      <c r="E112" s="446"/>
      <c r="F112" s="446"/>
      <c r="G112" s="446"/>
      <c r="H112" s="446"/>
      <c r="I112" s="447" t="s">
        <v>1065</v>
      </c>
      <c r="J112" s="448" t="s">
        <v>1066</v>
      </c>
      <c r="K112" s="449" t="s">
        <v>901</v>
      </c>
      <c r="L112" s="450" t="s">
        <v>852</v>
      </c>
      <c r="M112" s="451">
        <v>420000</v>
      </c>
      <c r="N112" s="452">
        <f t="shared" si="0"/>
        <v>420000</v>
      </c>
      <c r="O112" s="453" t="s">
        <v>101</v>
      </c>
      <c r="P112" s="454">
        <v>0</v>
      </c>
      <c r="Q112" s="455">
        <v>0</v>
      </c>
      <c r="R112" s="386">
        <v>0</v>
      </c>
      <c r="S112" s="386">
        <v>0</v>
      </c>
      <c r="T112" s="386">
        <f t="shared" si="3"/>
        <v>420000</v>
      </c>
      <c r="U112" s="456"/>
    </row>
    <row r="113" spans="1:21" ht="120">
      <c r="A113" s="444">
        <f t="shared" si="4"/>
        <v>100</v>
      </c>
      <c r="B113" s="445"/>
      <c r="C113" s="446"/>
      <c r="D113" s="446"/>
      <c r="E113" s="446"/>
      <c r="F113" s="446"/>
      <c r="G113" s="446"/>
      <c r="H113" s="446"/>
      <c r="I113" s="447" t="s">
        <v>1067</v>
      </c>
      <c r="J113" s="448" t="s">
        <v>1068</v>
      </c>
      <c r="K113" s="449" t="s">
        <v>862</v>
      </c>
      <c r="L113" s="450" t="s">
        <v>852</v>
      </c>
      <c r="M113" s="451">
        <v>112000</v>
      </c>
      <c r="N113" s="452">
        <f t="shared" si="0"/>
        <v>112000</v>
      </c>
      <c r="O113" s="453" t="s">
        <v>101</v>
      </c>
      <c r="P113" s="454">
        <v>0</v>
      </c>
      <c r="Q113" s="455">
        <v>0</v>
      </c>
      <c r="R113" s="386">
        <v>0</v>
      </c>
      <c r="S113" s="386">
        <v>0</v>
      </c>
      <c r="T113" s="386">
        <f t="shared" si="3"/>
        <v>112000</v>
      </c>
      <c r="U113" s="456"/>
    </row>
    <row r="114" spans="1:21" ht="105">
      <c r="A114" s="444">
        <f t="shared" si="4"/>
        <v>101</v>
      </c>
      <c r="B114" s="445"/>
      <c r="C114" s="446"/>
      <c r="D114" s="446"/>
      <c r="E114" s="446"/>
      <c r="F114" s="446"/>
      <c r="G114" s="446"/>
      <c r="H114" s="446"/>
      <c r="I114" s="447" t="s">
        <v>1069</v>
      </c>
      <c r="J114" s="448" t="s">
        <v>1070</v>
      </c>
      <c r="K114" s="449" t="s">
        <v>862</v>
      </c>
      <c r="L114" s="450" t="s">
        <v>852</v>
      </c>
      <c r="M114" s="451">
        <v>112000</v>
      </c>
      <c r="N114" s="452">
        <f>M114</f>
        <v>112000</v>
      </c>
      <c r="O114" s="453" t="s">
        <v>101</v>
      </c>
      <c r="P114" s="454">
        <v>0</v>
      </c>
      <c r="Q114" s="455">
        <v>0</v>
      </c>
      <c r="R114" s="386">
        <v>0</v>
      </c>
      <c r="S114" s="386">
        <v>0</v>
      </c>
      <c r="T114" s="386">
        <f t="shared" si="3"/>
        <v>112000</v>
      </c>
      <c r="U114" s="456"/>
    </row>
    <row r="115" spans="1:21" ht="105">
      <c r="A115" s="444">
        <f t="shared" si="4"/>
        <v>102</v>
      </c>
      <c r="B115" s="445"/>
      <c r="C115" s="446"/>
      <c r="D115" s="446"/>
      <c r="E115" s="446"/>
      <c r="F115" s="446"/>
      <c r="G115" s="446"/>
      <c r="H115" s="446"/>
      <c r="I115" s="447" t="s">
        <v>1071</v>
      </c>
      <c r="J115" s="448" t="s">
        <v>1072</v>
      </c>
      <c r="K115" s="449" t="s">
        <v>862</v>
      </c>
      <c r="L115" s="450" t="s">
        <v>852</v>
      </c>
      <c r="M115" s="451">
        <v>112000</v>
      </c>
      <c r="N115" s="452">
        <f>M115</f>
        <v>112000</v>
      </c>
      <c r="O115" s="453" t="s">
        <v>101</v>
      </c>
      <c r="P115" s="454">
        <v>0</v>
      </c>
      <c r="Q115" s="455">
        <v>0</v>
      </c>
      <c r="R115" s="386">
        <v>0</v>
      </c>
      <c r="S115" s="386">
        <v>0</v>
      </c>
      <c r="T115" s="386">
        <f t="shared" si="3"/>
        <v>112000</v>
      </c>
      <c r="U115" s="456"/>
    </row>
    <row r="116" spans="1:21" ht="105">
      <c r="A116" s="444">
        <f t="shared" si="4"/>
        <v>103</v>
      </c>
      <c r="B116" s="445"/>
      <c r="C116" s="446"/>
      <c r="D116" s="446"/>
      <c r="E116" s="446"/>
      <c r="F116" s="446"/>
      <c r="G116" s="446"/>
      <c r="H116" s="446"/>
      <c r="I116" s="447" t="s">
        <v>1073</v>
      </c>
      <c r="J116" s="448" t="s">
        <v>1074</v>
      </c>
      <c r="K116" s="449" t="s">
        <v>862</v>
      </c>
      <c r="L116" s="450" t="s">
        <v>852</v>
      </c>
      <c r="M116" s="451">
        <v>112000</v>
      </c>
      <c r="N116" s="452">
        <f>M116</f>
        <v>112000</v>
      </c>
      <c r="O116" s="453" t="s">
        <v>101</v>
      </c>
      <c r="P116" s="454">
        <v>0</v>
      </c>
      <c r="Q116" s="455">
        <v>0</v>
      </c>
      <c r="R116" s="386">
        <v>0</v>
      </c>
      <c r="S116" s="386">
        <v>0</v>
      </c>
      <c r="T116" s="386">
        <f t="shared" si="3"/>
        <v>112000</v>
      </c>
      <c r="U116" s="456"/>
    </row>
    <row r="117" spans="1:21" ht="90">
      <c r="A117" s="444">
        <f t="shared" si="4"/>
        <v>104</v>
      </c>
      <c r="B117" s="445"/>
      <c r="C117" s="446"/>
      <c r="D117" s="446"/>
      <c r="E117" s="446"/>
      <c r="F117" s="446"/>
      <c r="G117" s="446"/>
      <c r="H117" s="446"/>
      <c r="I117" s="447" t="s">
        <v>1075</v>
      </c>
      <c r="J117" s="448" t="s">
        <v>1076</v>
      </c>
      <c r="K117" s="449" t="s">
        <v>851</v>
      </c>
      <c r="L117" s="450" t="s">
        <v>852</v>
      </c>
      <c r="M117" s="451">
        <v>180000</v>
      </c>
      <c r="N117" s="452">
        <f t="shared" si="0"/>
        <v>180000</v>
      </c>
      <c r="O117" s="453" t="s">
        <v>101</v>
      </c>
      <c r="P117" s="454">
        <v>0</v>
      </c>
      <c r="Q117" s="455">
        <v>0</v>
      </c>
      <c r="R117" s="386">
        <v>0</v>
      </c>
      <c r="S117" s="386">
        <v>0</v>
      </c>
      <c r="T117" s="386">
        <f t="shared" si="3"/>
        <v>180000</v>
      </c>
      <c r="U117" s="456"/>
    </row>
    <row r="118" spans="1:21" ht="45">
      <c r="A118" s="444">
        <f t="shared" si="4"/>
        <v>105</v>
      </c>
      <c r="B118" s="445"/>
      <c r="C118" s="446"/>
      <c r="D118" s="446"/>
      <c r="E118" s="446"/>
      <c r="F118" s="446"/>
      <c r="G118" s="446"/>
      <c r="H118" s="446"/>
      <c r="I118" s="447" t="s">
        <v>1077</v>
      </c>
      <c r="J118" s="448" t="s">
        <v>1078</v>
      </c>
      <c r="K118" s="449" t="s">
        <v>851</v>
      </c>
      <c r="L118" s="450" t="s">
        <v>852</v>
      </c>
      <c r="M118" s="451">
        <v>1800000</v>
      </c>
      <c r="N118" s="452">
        <f t="shared" ref="N118:N188" si="5">M118</f>
        <v>1800000</v>
      </c>
      <c r="O118" s="453" t="s">
        <v>101</v>
      </c>
      <c r="P118" s="454">
        <v>0</v>
      </c>
      <c r="Q118" s="455">
        <v>0</v>
      </c>
      <c r="R118" s="386">
        <v>0</v>
      </c>
      <c r="S118" s="386">
        <v>0</v>
      </c>
      <c r="T118" s="386">
        <f t="shared" si="3"/>
        <v>1800000</v>
      </c>
      <c r="U118" s="456"/>
    </row>
    <row r="119" spans="1:21" ht="45">
      <c r="A119" s="444">
        <f t="shared" si="4"/>
        <v>106</v>
      </c>
      <c r="B119" s="445"/>
      <c r="C119" s="446"/>
      <c r="D119" s="446"/>
      <c r="E119" s="446"/>
      <c r="F119" s="446"/>
      <c r="G119" s="446"/>
      <c r="H119" s="446"/>
      <c r="I119" s="447" t="s">
        <v>1079</v>
      </c>
      <c r="J119" s="448" t="s">
        <v>1080</v>
      </c>
      <c r="K119" s="449" t="s">
        <v>851</v>
      </c>
      <c r="L119" s="450" t="s">
        <v>852</v>
      </c>
      <c r="M119" s="451">
        <v>1680000</v>
      </c>
      <c r="N119" s="452">
        <f t="shared" si="5"/>
        <v>1680000</v>
      </c>
      <c r="O119" s="453" t="s">
        <v>101</v>
      </c>
      <c r="P119" s="454">
        <v>0</v>
      </c>
      <c r="Q119" s="455">
        <v>0</v>
      </c>
      <c r="R119" s="386">
        <v>0</v>
      </c>
      <c r="S119" s="386">
        <v>0</v>
      </c>
      <c r="T119" s="386">
        <f t="shared" si="3"/>
        <v>1680000</v>
      </c>
      <c r="U119" s="456"/>
    </row>
    <row r="120" spans="1:21" ht="45">
      <c r="A120" s="444">
        <f t="shared" si="4"/>
        <v>107</v>
      </c>
      <c r="B120" s="445"/>
      <c r="C120" s="446"/>
      <c r="D120" s="446"/>
      <c r="E120" s="446"/>
      <c r="F120" s="446"/>
      <c r="G120" s="446"/>
      <c r="H120" s="446"/>
      <c r="I120" s="447" t="s">
        <v>1081</v>
      </c>
      <c r="J120" s="448" t="s">
        <v>1078</v>
      </c>
      <c r="K120" s="449" t="s">
        <v>851</v>
      </c>
      <c r="L120" s="450" t="s">
        <v>852</v>
      </c>
      <c r="M120" s="451">
        <v>270000</v>
      </c>
      <c r="N120" s="452">
        <f t="shared" si="5"/>
        <v>270000</v>
      </c>
      <c r="O120" s="453" t="s">
        <v>101</v>
      </c>
      <c r="P120" s="454">
        <v>0</v>
      </c>
      <c r="Q120" s="455">
        <v>0</v>
      </c>
      <c r="R120" s="386">
        <v>0</v>
      </c>
      <c r="S120" s="386">
        <v>0</v>
      </c>
      <c r="T120" s="386">
        <f t="shared" si="3"/>
        <v>270000</v>
      </c>
      <c r="U120" s="456"/>
    </row>
    <row r="121" spans="1:21" ht="105">
      <c r="A121" s="444">
        <f t="shared" si="4"/>
        <v>108</v>
      </c>
      <c r="B121" s="445"/>
      <c r="C121" s="446"/>
      <c r="D121" s="446"/>
      <c r="E121" s="446"/>
      <c r="F121" s="446"/>
      <c r="G121" s="446"/>
      <c r="H121" s="446"/>
      <c r="I121" s="447" t="s">
        <v>1082</v>
      </c>
      <c r="J121" s="448" t="s">
        <v>1083</v>
      </c>
      <c r="K121" s="449" t="s">
        <v>862</v>
      </c>
      <c r="L121" s="450" t="s">
        <v>852</v>
      </c>
      <c r="M121" s="451">
        <v>172800</v>
      </c>
      <c r="N121" s="452">
        <f t="shared" si="5"/>
        <v>172800</v>
      </c>
      <c r="O121" s="453" t="s">
        <v>101</v>
      </c>
      <c r="P121" s="454">
        <v>0</v>
      </c>
      <c r="Q121" s="455">
        <v>0</v>
      </c>
      <c r="R121" s="386">
        <v>0</v>
      </c>
      <c r="S121" s="386">
        <v>0</v>
      </c>
      <c r="T121" s="386">
        <f t="shared" si="3"/>
        <v>172800</v>
      </c>
      <c r="U121" s="456"/>
    </row>
    <row r="122" spans="1:21" ht="105">
      <c r="A122" s="444">
        <f t="shared" si="4"/>
        <v>109</v>
      </c>
      <c r="B122" s="445"/>
      <c r="C122" s="446"/>
      <c r="D122" s="446"/>
      <c r="E122" s="446"/>
      <c r="F122" s="446"/>
      <c r="G122" s="446"/>
      <c r="H122" s="446"/>
      <c r="I122" s="447" t="s">
        <v>1084</v>
      </c>
      <c r="J122" s="448" t="s">
        <v>1085</v>
      </c>
      <c r="K122" s="449" t="s">
        <v>862</v>
      </c>
      <c r="L122" s="450" t="s">
        <v>852</v>
      </c>
      <c r="M122" s="451">
        <v>172800</v>
      </c>
      <c r="N122" s="452">
        <f t="shared" si="5"/>
        <v>172800</v>
      </c>
      <c r="O122" s="453" t="s">
        <v>101</v>
      </c>
      <c r="P122" s="454">
        <v>0</v>
      </c>
      <c r="Q122" s="455">
        <v>0</v>
      </c>
      <c r="R122" s="386">
        <v>0</v>
      </c>
      <c r="S122" s="386">
        <v>0</v>
      </c>
      <c r="T122" s="386">
        <f t="shared" si="3"/>
        <v>172800</v>
      </c>
      <c r="U122" s="456"/>
    </row>
    <row r="123" spans="1:21" ht="105">
      <c r="A123" s="444">
        <f t="shared" si="4"/>
        <v>110</v>
      </c>
      <c r="B123" s="445"/>
      <c r="C123" s="446"/>
      <c r="D123" s="446"/>
      <c r="E123" s="446"/>
      <c r="F123" s="446"/>
      <c r="G123" s="446"/>
      <c r="H123" s="446"/>
      <c r="I123" s="447" t="s">
        <v>1086</v>
      </c>
      <c r="J123" s="448" t="s">
        <v>1087</v>
      </c>
      <c r="K123" s="449" t="s">
        <v>862</v>
      </c>
      <c r="L123" s="450" t="s">
        <v>852</v>
      </c>
      <c r="M123" s="451">
        <v>172800</v>
      </c>
      <c r="N123" s="452">
        <f t="shared" si="5"/>
        <v>172800</v>
      </c>
      <c r="O123" s="453" t="s">
        <v>101</v>
      </c>
      <c r="P123" s="454">
        <v>0</v>
      </c>
      <c r="Q123" s="455">
        <v>0</v>
      </c>
      <c r="R123" s="386">
        <v>0</v>
      </c>
      <c r="S123" s="386">
        <v>0</v>
      </c>
      <c r="T123" s="386">
        <f t="shared" si="3"/>
        <v>172800</v>
      </c>
      <c r="U123" s="456"/>
    </row>
    <row r="124" spans="1:21" ht="105">
      <c r="A124" s="444">
        <f t="shared" si="4"/>
        <v>111</v>
      </c>
      <c r="B124" s="445"/>
      <c r="C124" s="446"/>
      <c r="D124" s="446"/>
      <c r="E124" s="446"/>
      <c r="F124" s="446"/>
      <c r="G124" s="446"/>
      <c r="H124" s="446"/>
      <c r="I124" s="447" t="s">
        <v>1088</v>
      </c>
      <c r="J124" s="448" t="s">
        <v>1089</v>
      </c>
      <c r="K124" s="449" t="s">
        <v>862</v>
      </c>
      <c r="L124" s="450" t="s">
        <v>852</v>
      </c>
      <c r="M124" s="451">
        <v>172800</v>
      </c>
      <c r="N124" s="452">
        <f t="shared" si="5"/>
        <v>172800</v>
      </c>
      <c r="O124" s="453" t="s">
        <v>101</v>
      </c>
      <c r="P124" s="454">
        <v>0</v>
      </c>
      <c r="Q124" s="455">
        <v>0</v>
      </c>
      <c r="R124" s="386">
        <v>0</v>
      </c>
      <c r="S124" s="386">
        <v>0</v>
      </c>
      <c r="T124" s="386">
        <f t="shared" si="3"/>
        <v>172800</v>
      </c>
      <c r="U124" s="456"/>
    </row>
    <row r="125" spans="1:21" ht="120">
      <c r="A125" s="444">
        <f t="shared" si="4"/>
        <v>112</v>
      </c>
      <c r="B125" s="445"/>
      <c r="C125" s="446"/>
      <c r="D125" s="446"/>
      <c r="E125" s="446"/>
      <c r="F125" s="446"/>
      <c r="G125" s="446"/>
      <c r="H125" s="446"/>
      <c r="I125" s="447" t="s">
        <v>1090</v>
      </c>
      <c r="J125" s="448" t="s">
        <v>1091</v>
      </c>
      <c r="K125" s="449" t="s">
        <v>862</v>
      </c>
      <c r="L125" s="450" t="s">
        <v>852</v>
      </c>
      <c r="M125" s="451">
        <v>172800</v>
      </c>
      <c r="N125" s="452">
        <f t="shared" si="5"/>
        <v>172800</v>
      </c>
      <c r="O125" s="453" t="s">
        <v>101</v>
      </c>
      <c r="P125" s="454">
        <v>0</v>
      </c>
      <c r="Q125" s="455">
        <v>0</v>
      </c>
      <c r="R125" s="386">
        <v>0</v>
      </c>
      <c r="S125" s="386">
        <v>0</v>
      </c>
      <c r="T125" s="386">
        <f t="shared" si="3"/>
        <v>172800</v>
      </c>
      <c r="U125" s="456"/>
    </row>
    <row r="126" spans="1:21" ht="105">
      <c r="A126" s="444">
        <f t="shared" si="4"/>
        <v>113</v>
      </c>
      <c r="B126" s="445"/>
      <c r="C126" s="446"/>
      <c r="D126" s="446"/>
      <c r="E126" s="446"/>
      <c r="F126" s="446"/>
      <c r="G126" s="446"/>
      <c r="H126" s="446"/>
      <c r="I126" s="447" t="s">
        <v>1092</v>
      </c>
      <c r="J126" s="448" t="s">
        <v>1093</v>
      </c>
      <c r="K126" s="449" t="s">
        <v>862</v>
      </c>
      <c r="L126" s="450" t="s">
        <v>852</v>
      </c>
      <c r="M126" s="451">
        <v>172800</v>
      </c>
      <c r="N126" s="452">
        <f t="shared" si="5"/>
        <v>172800</v>
      </c>
      <c r="O126" s="453" t="s">
        <v>101</v>
      </c>
      <c r="P126" s="454">
        <v>0</v>
      </c>
      <c r="Q126" s="455">
        <v>0</v>
      </c>
      <c r="R126" s="386">
        <v>0</v>
      </c>
      <c r="S126" s="386">
        <v>0</v>
      </c>
      <c r="T126" s="386">
        <f t="shared" si="3"/>
        <v>172800</v>
      </c>
      <c r="U126" s="456"/>
    </row>
    <row r="127" spans="1:21" ht="105">
      <c r="A127" s="444">
        <f t="shared" si="4"/>
        <v>114</v>
      </c>
      <c r="B127" s="445"/>
      <c r="C127" s="446"/>
      <c r="D127" s="446"/>
      <c r="E127" s="446"/>
      <c r="F127" s="446"/>
      <c r="G127" s="446"/>
      <c r="H127" s="446"/>
      <c r="I127" s="447" t="s">
        <v>1094</v>
      </c>
      <c r="J127" s="448" t="s">
        <v>1095</v>
      </c>
      <c r="K127" s="449" t="s">
        <v>862</v>
      </c>
      <c r="L127" s="450" t="s">
        <v>852</v>
      </c>
      <c r="M127" s="451">
        <v>172800</v>
      </c>
      <c r="N127" s="452">
        <f t="shared" si="5"/>
        <v>172800</v>
      </c>
      <c r="O127" s="453" t="s">
        <v>101</v>
      </c>
      <c r="P127" s="454">
        <v>0</v>
      </c>
      <c r="Q127" s="455">
        <v>0</v>
      </c>
      <c r="R127" s="386">
        <v>0</v>
      </c>
      <c r="S127" s="386">
        <v>0</v>
      </c>
      <c r="T127" s="386">
        <f t="shared" si="3"/>
        <v>172800</v>
      </c>
      <c r="U127" s="456"/>
    </row>
    <row r="128" spans="1:21" ht="60">
      <c r="A128" s="444">
        <f t="shared" si="4"/>
        <v>115</v>
      </c>
      <c r="B128" s="445"/>
      <c r="C128" s="446"/>
      <c r="D128" s="446"/>
      <c r="E128" s="446"/>
      <c r="F128" s="446"/>
      <c r="G128" s="446"/>
      <c r="H128" s="446"/>
      <c r="I128" s="447" t="s">
        <v>1096</v>
      </c>
      <c r="J128" s="448" t="s">
        <v>1097</v>
      </c>
      <c r="K128" s="449" t="s">
        <v>901</v>
      </c>
      <c r="L128" s="450" t="s">
        <v>852</v>
      </c>
      <c r="M128" s="451">
        <v>420000</v>
      </c>
      <c r="N128" s="452">
        <f t="shared" si="5"/>
        <v>420000</v>
      </c>
      <c r="O128" s="453" t="s">
        <v>101</v>
      </c>
      <c r="P128" s="454">
        <v>0</v>
      </c>
      <c r="Q128" s="455">
        <v>0</v>
      </c>
      <c r="R128" s="386">
        <v>0</v>
      </c>
      <c r="S128" s="386">
        <v>0</v>
      </c>
      <c r="T128" s="386">
        <f t="shared" si="3"/>
        <v>420000</v>
      </c>
      <c r="U128" s="456"/>
    </row>
    <row r="129" spans="1:21" ht="105">
      <c r="A129" s="444">
        <f t="shared" si="4"/>
        <v>116</v>
      </c>
      <c r="B129" s="445"/>
      <c r="C129" s="446"/>
      <c r="D129" s="446"/>
      <c r="E129" s="446"/>
      <c r="F129" s="446"/>
      <c r="G129" s="446"/>
      <c r="H129" s="446"/>
      <c r="I129" s="447" t="s">
        <v>1098</v>
      </c>
      <c r="J129" s="448" t="s">
        <v>1099</v>
      </c>
      <c r="K129" s="449" t="s">
        <v>862</v>
      </c>
      <c r="L129" s="450" t="s">
        <v>852</v>
      </c>
      <c r="M129" s="451">
        <v>120000</v>
      </c>
      <c r="N129" s="452">
        <f t="shared" si="5"/>
        <v>120000</v>
      </c>
      <c r="O129" s="453" t="s">
        <v>101</v>
      </c>
      <c r="P129" s="454">
        <v>0</v>
      </c>
      <c r="Q129" s="455">
        <v>0</v>
      </c>
      <c r="R129" s="386">
        <v>0</v>
      </c>
      <c r="S129" s="386">
        <v>0</v>
      </c>
      <c r="T129" s="386">
        <f t="shared" si="3"/>
        <v>120000</v>
      </c>
      <c r="U129" s="456"/>
    </row>
    <row r="130" spans="1:21" ht="105">
      <c r="A130" s="444">
        <f t="shared" si="4"/>
        <v>117</v>
      </c>
      <c r="B130" s="445"/>
      <c r="C130" s="446"/>
      <c r="D130" s="446"/>
      <c r="E130" s="446"/>
      <c r="F130" s="446"/>
      <c r="G130" s="446"/>
      <c r="H130" s="446"/>
      <c r="I130" s="447" t="s">
        <v>1100</v>
      </c>
      <c r="J130" s="448" t="s">
        <v>1101</v>
      </c>
      <c r="K130" s="449" t="s">
        <v>862</v>
      </c>
      <c r="L130" s="450" t="s">
        <v>852</v>
      </c>
      <c r="M130" s="451">
        <v>120000</v>
      </c>
      <c r="N130" s="452">
        <f t="shared" si="5"/>
        <v>120000</v>
      </c>
      <c r="O130" s="453" t="s">
        <v>101</v>
      </c>
      <c r="P130" s="454">
        <v>0</v>
      </c>
      <c r="Q130" s="455">
        <v>0</v>
      </c>
      <c r="R130" s="386">
        <v>0</v>
      </c>
      <c r="S130" s="386">
        <v>0</v>
      </c>
      <c r="T130" s="386">
        <f t="shared" si="3"/>
        <v>120000</v>
      </c>
      <c r="U130" s="456"/>
    </row>
    <row r="131" spans="1:21" ht="105">
      <c r="A131" s="444">
        <f t="shared" si="4"/>
        <v>118</v>
      </c>
      <c r="B131" s="445"/>
      <c r="C131" s="446"/>
      <c r="D131" s="446"/>
      <c r="E131" s="446"/>
      <c r="F131" s="446"/>
      <c r="G131" s="446"/>
      <c r="H131" s="446"/>
      <c r="I131" s="447" t="s">
        <v>1102</v>
      </c>
      <c r="J131" s="448" t="s">
        <v>1103</v>
      </c>
      <c r="K131" s="449" t="s">
        <v>862</v>
      </c>
      <c r="L131" s="450" t="s">
        <v>852</v>
      </c>
      <c r="M131" s="451">
        <v>120000</v>
      </c>
      <c r="N131" s="452">
        <f t="shared" si="5"/>
        <v>120000</v>
      </c>
      <c r="O131" s="453" t="s">
        <v>101</v>
      </c>
      <c r="P131" s="454">
        <v>0</v>
      </c>
      <c r="Q131" s="455">
        <v>0</v>
      </c>
      <c r="R131" s="386">
        <v>0</v>
      </c>
      <c r="S131" s="386">
        <v>0</v>
      </c>
      <c r="T131" s="386">
        <f t="shared" si="3"/>
        <v>120000</v>
      </c>
      <c r="U131" s="456"/>
    </row>
    <row r="132" spans="1:21" ht="105">
      <c r="A132" s="444">
        <f t="shared" si="4"/>
        <v>119</v>
      </c>
      <c r="B132" s="445"/>
      <c r="C132" s="446"/>
      <c r="D132" s="446"/>
      <c r="E132" s="446"/>
      <c r="F132" s="446"/>
      <c r="G132" s="446"/>
      <c r="H132" s="446"/>
      <c r="I132" s="447" t="s">
        <v>1104</v>
      </c>
      <c r="J132" s="448" t="s">
        <v>1105</v>
      </c>
      <c r="K132" s="449" t="s">
        <v>862</v>
      </c>
      <c r="L132" s="450" t="s">
        <v>852</v>
      </c>
      <c r="M132" s="451">
        <v>120000</v>
      </c>
      <c r="N132" s="452">
        <f t="shared" si="5"/>
        <v>120000</v>
      </c>
      <c r="O132" s="453" t="s">
        <v>101</v>
      </c>
      <c r="P132" s="454">
        <v>0</v>
      </c>
      <c r="Q132" s="455">
        <v>0</v>
      </c>
      <c r="R132" s="386">
        <v>0</v>
      </c>
      <c r="S132" s="386">
        <v>0</v>
      </c>
      <c r="T132" s="386">
        <f t="shared" si="3"/>
        <v>120000</v>
      </c>
      <c r="U132" s="456"/>
    </row>
    <row r="133" spans="1:21" ht="105">
      <c r="A133" s="444">
        <f t="shared" si="4"/>
        <v>120</v>
      </c>
      <c r="B133" s="445"/>
      <c r="C133" s="446"/>
      <c r="D133" s="446"/>
      <c r="E133" s="446"/>
      <c r="F133" s="446"/>
      <c r="G133" s="446"/>
      <c r="H133" s="446"/>
      <c r="I133" s="447" t="s">
        <v>1106</v>
      </c>
      <c r="J133" s="448" t="s">
        <v>1107</v>
      </c>
      <c r="K133" s="449" t="s">
        <v>862</v>
      </c>
      <c r="L133" s="450" t="s">
        <v>852</v>
      </c>
      <c r="M133" s="451">
        <v>120000</v>
      </c>
      <c r="N133" s="452">
        <f t="shared" si="5"/>
        <v>120000</v>
      </c>
      <c r="O133" s="453" t="s">
        <v>101</v>
      </c>
      <c r="P133" s="454">
        <v>0</v>
      </c>
      <c r="Q133" s="455">
        <v>0</v>
      </c>
      <c r="R133" s="386">
        <v>0</v>
      </c>
      <c r="S133" s="386">
        <v>0</v>
      </c>
      <c r="T133" s="386">
        <f t="shared" si="3"/>
        <v>120000</v>
      </c>
      <c r="U133" s="456"/>
    </row>
    <row r="134" spans="1:21" ht="105">
      <c r="A134" s="444">
        <f t="shared" si="4"/>
        <v>121</v>
      </c>
      <c r="B134" s="445"/>
      <c r="C134" s="446"/>
      <c r="D134" s="446"/>
      <c r="E134" s="446"/>
      <c r="F134" s="446"/>
      <c r="G134" s="446"/>
      <c r="H134" s="446"/>
      <c r="I134" s="447" t="s">
        <v>1108</v>
      </c>
      <c r="J134" s="448" t="s">
        <v>1109</v>
      </c>
      <c r="K134" s="449" t="s">
        <v>862</v>
      </c>
      <c r="L134" s="450" t="s">
        <v>852</v>
      </c>
      <c r="M134" s="451">
        <v>120000</v>
      </c>
      <c r="N134" s="452">
        <f t="shared" si="5"/>
        <v>120000</v>
      </c>
      <c r="O134" s="453" t="s">
        <v>101</v>
      </c>
      <c r="P134" s="454">
        <v>0</v>
      </c>
      <c r="Q134" s="455">
        <v>0</v>
      </c>
      <c r="R134" s="386">
        <v>0</v>
      </c>
      <c r="S134" s="386">
        <v>0</v>
      </c>
      <c r="T134" s="386">
        <f t="shared" si="3"/>
        <v>120000</v>
      </c>
      <c r="U134" s="456"/>
    </row>
    <row r="135" spans="1:21" ht="105">
      <c r="A135" s="444">
        <f t="shared" si="4"/>
        <v>122</v>
      </c>
      <c r="B135" s="445"/>
      <c r="C135" s="446"/>
      <c r="D135" s="446"/>
      <c r="E135" s="446"/>
      <c r="F135" s="446"/>
      <c r="G135" s="446"/>
      <c r="H135" s="446"/>
      <c r="I135" s="447" t="s">
        <v>1110</v>
      </c>
      <c r="J135" s="448" t="s">
        <v>1111</v>
      </c>
      <c r="K135" s="449" t="s">
        <v>862</v>
      </c>
      <c r="L135" s="450" t="s">
        <v>852</v>
      </c>
      <c r="M135" s="451">
        <v>120000</v>
      </c>
      <c r="N135" s="452">
        <f t="shared" si="5"/>
        <v>120000</v>
      </c>
      <c r="O135" s="453" t="s">
        <v>101</v>
      </c>
      <c r="P135" s="454">
        <v>0</v>
      </c>
      <c r="Q135" s="455">
        <v>0</v>
      </c>
      <c r="R135" s="386">
        <v>0</v>
      </c>
      <c r="S135" s="386">
        <v>0</v>
      </c>
      <c r="T135" s="386">
        <f t="shared" si="3"/>
        <v>120000</v>
      </c>
      <c r="U135" s="456"/>
    </row>
    <row r="136" spans="1:21" ht="105">
      <c r="A136" s="444">
        <f t="shared" si="4"/>
        <v>123</v>
      </c>
      <c r="B136" s="445"/>
      <c r="C136" s="446"/>
      <c r="D136" s="446"/>
      <c r="E136" s="446"/>
      <c r="F136" s="446"/>
      <c r="G136" s="446"/>
      <c r="H136" s="446"/>
      <c r="I136" s="447" t="s">
        <v>1112</v>
      </c>
      <c r="J136" s="448" t="s">
        <v>1113</v>
      </c>
      <c r="K136" s="449" t="s">
        <v>862</v>
      </c>
      <c r="L136" s="450" t="s">
        <v>852</v>
      </c>
      <c r="M136" s="451">
        <v>120000</v>
      </c>
      <c r="N136" s="452">
        <f t="shared" si="5"/>
        <v>120000</v>
      </c>
      <c r="O136" s="453" t="s">
        <v>101</v>
      </c>
      <c r="P136" s="454">
        <v>0</v>
      </c>
      <c r="Q136" s="455">
        <v>0</v>
      </c>
      <c r="R136" s="386">
        <v>0</v>
      </c>
      <c r="S136" s="386">
        <v>0</v>
      </c>
      <c r="T136" s="386">
        <f t="shared" si="3"/>
        <v>120000</v>
      </c>
      <c r="U136" s="456"/>
    </row>
    <row r="137" spans="1:21" ht="105">
      <c r="A137" s="444">
        <f t="shared" si="4"/>
        <v>124</v>
      </c>
      <c r="B137" s="445"/>
      <c r="C137" s="446"/>
      <c r="D137" s="446"/>
      <c r="E137" s="446"/>
      <c r="F137" s="446"/>
      <c r="G137" s="446"/>
      <c r="H137" s="446"/>
      <c r="I137" s="447" t="s">
        <v>1114</v>
      </c>
      <c r="J137" s="448" t="s">
        <v>1115</v>
      </c>
      <c r="K137" s="449" t="s">
        <v>862</v>
      </c>
      <c r="L137" s="450" t="s">
        <v>852</v>
      </c>
      <c r="M137" s="451">
        <v>120000</v>
      </c>
      <c r="N137" s="452">
        <f t="shared" si="5"/>
        <v>120000</v>
      </c>
      <c r="O137" s="453" t="s">
        <v>101</v>
      </c>
      <c r="P137" s="454">
        <v>0</v>
      </c>
      <c r="Q137" s="455">
        <v>0</v>
      </c>
      <c r="R137" s="386">
        <v>0</v>
      </c>
      <c r="S137" s="386">
        <v>0</v>
      </c>
      <c r="T137" s="386">
        <f t="shared" ref="T137:T189" si="6">N137-R137-S137</f>
        <v>120000</v>
      </c>
      <c r="U137" s="456"/>
    </row>
    <row r="138" spans="1:21" ht="105">
      <c r="A138" s="444">
        <f t="shared" si="4"/>
        <v>125</v>
      </c>
      <c r="B138" s="445"/>
      <c r="C138" s="446"/>
      <c r="D138" s="446"/>
      <c r="E138" s="446"/>
      <c r="F138" s="446"/>
      <c r="G138" s="446"/>
      <c r="H138" s="446"/>
      <c r="I138" s="447" t="s">
        <v>1116</v>
      </c>
      <c r="J138" s="448" t="s">
        <v>1117</v>
      </c>
      <c r="K138" s="449" t="s">
        <v>862</v>
      </c>
      <c r="L138" s="450" t="s">
        <v>852</v>
      </c>
      <c r="M138" s="451">
        <v>120000</v>
      </c>
      <c r="N138" s="452">
        <f t="shared" si="5"/>
        <v>120000</v>
      </c>
      <c r="O138" s="453" t="s">
        <v>101</v>
      </c>
      <c r="P138" s="454">
        <v>0</v>
      </c>
      <c r="Q138" s="455">
        <v>0</v>
      </c>
      <c r="R138" s="386">
        <v>0</v>
      </c>
      <c r="S138" s="386">
        <v>0</v>
      </c>
      <c r="T138" s="386">
        <f t="shared" si="6"/>
        <v>120000</v>
      </c>
      <c r="U138" s="456"/>
    </row>
    <row r="139" spans="1:21" ht="105">
      <c r="A139" s="444">
        <f t="shared" si="4"/>
        <v>126</v>
      </c>
      <c r="B139" s="445"/>
      <c r="C139" s="446"/>
      <c r="D139" s="446"/>
      <c r="E139" s="446"/>
      <c r="F139" s="446"/>
      <c r="G139" s="446"/>
      <c r="H139" s="446"/>
      <c r="I139" s="447" t="s">
        <v>1118</v>
      </c>
      <c r="J139" s="448" t="s">
        <v>1119</v>
      </c>
      <c r="K139" s="449" t="s">
        <v>862</v>
      </c>
      <c r="L139" s="450" t="s">
        <v>852</v>
      </c>
      <c r="M139" s="451">
        <v>120000</v>
      </c>
      <c r="N139" s="452">
        <f t="shared" si="5"/>
        <v>120000</v>
      </c>
      <c r="O139" s="453" t="s">
        <v>101</v>
      </c>
      <c r="P139" s="454">
        <v>0</v>
      </c>
      <c r="Q139" s="455">
        <v>0</v>
      </c>
      <c r="R139" s="386">
        <v>0</v>
      </c>
      <c r="S139" s="386">
        <v>0</v>
      </c>
      <c r="T139" s="386">
        <f t="shared" si="6"/>
        <v>120000</v>
      </c>
      <c r="U139" s="456"/>
    </row>
    <row r="140" spans="1:21" ht="105">
      <c r="A140" s="444">
        <f t="shared" si="4"/>
        <v>127</v>
      </c>
      <c r="B140" s="445"/>
      <c r="C140" s="446"/>
      <c r="D140" s="446"/>
      <c r="E140" s="446"/>
      <c r="F140" s="446"/>
      <c r="G140" s="446"/>
      <c r="H140" s="446"/>
      <c r="I140" s="447" t="s">
        <v>1120</v>
      </c>
      <c r="J140" s="448" t="s">
        <v>1121</v>
      </c>
      <c r="K140" s="449" t="s">
        <v>862</v>
      </c>
      <c r="L140" s="450" t="s">
        <v>852</v>
      </c>
      <c r="M140" s="451">
        <v>120000</v>
      </c>
      <c r="N140" s="452">
        <f t="shared" si="5"/>
        <v>120000</v>
      </c>
      <c r="O140" s="453" t="s">
        <v>101</v>
      </c>
      <c r="P140" s="454">
        <v>0</v>
      </c>
      <c r="Q140" s="455">
        <v>0</v>
      </c>
      <c r="R140" s="386">
        <v>0</v>
      </c>
      <c r="S140" s="386">
        <v>0</v>
      </c>
      <c r="T140" s="386">
        <f t="shared" si="6"/>
        <v>120000</v>
      </c>
      <c r="U140" s="456"/>
    </row>
    <row r="141" spans="1:21" ht="105">
      <c r="A141" s="444">
        <f t="shared" si="4"/>
        <v>128</v>
      </c>
      <c r="B141" s="445"/>
      <c r="C141" s="446"/>
      <c r="D141" s="446"/>
      <c r="E141" s="446"/>
      <c r="F141" s="446"/>
      <c r="G141" s="446"/>
      <c r="H141" s="446"/>
      <c r="I141" s="447" t="s">
        <v>1122</v>
      </c>
      <c r="J141" s="448" t="s">
        <v>1123</v>
      </c>
      <c r="K141" s="449" t="s">
        <v>862</v>
      </c>
      <c r="L141" s="450" t="s">
        <v>852</v>
      </c>
      <c r="M141" s="451">
        <v>120000</v>
      </c>
      <c r="N141" s="452">
        <f t="shared" si="5"/>
        <v>120000</v>
      </c>
      <c r="O141" s="453" t="s">
        <v>101</v>
      </c>
      <c r="P141" s="454">
        <v>0</v>
      </c>
      <c r="Q141" s="455">
        <v>0</v>
      </c>
      <c r="R141" s="386">
        <v>0</v>
      </c>
      <c r="S141" s="386">
        <v>0</v>
      </c>
      <c r="T141" s="386">
        <f t="shared" si="6"/>
        <v>120000</v>
      </c>
      <c r="U141" s="456"/>
    </row>
    <row r="142" spans="1:21" ht="105">
      <c r="A142" s="444">
        <f t="shared" si="4"/>
        <v>129</v>
      </c>
      <c r="B142" s="445"/>
      <c r="C142" s="446"/>
      <c r="D142" s="446"/>
      <c r="E142" s="446"/>
      <c r="F142" s="446"/>
      <c r="G142" s="446"/>
      <c r="H142" s="446"/>
      <c r="I142" s="447" t="s">
        <v>1124</v>
      </c>
      <c r="J142" s="448" t="s">
        <v>1125</v>
      </c>
      <c r="K142" s="449" t="s">
        <v>862</v>
      </c>
      <c r="L142" s="450" t="s">
        <v>852</v>
      </c>
      <c r="M142" s="451">
        <v>120000</v>
      </c>
      <c r="N142" s="452">
        <f t="shared" si="5"/>
        <v>120000</v>
      </c>
      <c r="O142" s="453" t="s">
        <v>101</v>
      </c>
      <c r="P142" s="454">
        <v>0</v>
      </c>
      <c r="Q142" s="455">
        <v>0</v>
      </c>
      <c r="R142" s="386">
        <v>0</v>
      </c>
      <c r="S142" s="386">
        <v>0</v>
      </c>
      <c r="T142" s="386">
        <f t="shared" si="6"/>
        <v>120000</v>
      </c>
      <c r="U142" s="456"/>
    </row>
    <row r="143" spans="1:21" ht="105">
      <c r="A143" s="444">
        <f t="shared" si="4"/>
        <v>130</v>
      </c>
      <c r="B143" s="445"/>
      <c r="C143" s="446"/>
      <c r="D143" s="446"/>
      <c r="E143" s="446"/>
      <c r="F143" s="446"/>
      <c r="G143" s="446"/>
      <c r="H143" s="446"/>
      <c r="I143" s="447" t="s">
        <v>1126</v>
      </c>
      <c r="J143" s="448" t="s">
        <v>1127</v>
      </c>
      <c r="K143" s="449" t="s">
        <v>862</v>
      </c>
      <c r="L143" s="450" t="s">
        <v>852</v>
      </c>
      <c r="M143" s="451">
        <v>156801</v>
      </c>
      <c r="N143" s="452">
        <f t="shared" si="5"/>
        <v>156801</v>
      </c>
      <c r="O143" s="453" t="s">
        <v>101</v>
      </c>
      <c r="P143" s="454">
        <v>0</v>
      </c>
      <c r="Q143" s="455">
        <v>0</v>
      </c>
      <c r="R143" s="386">
        <v>0</v>
      </c>
      <c r="S143" s="386">
        <v>0</v>
      </c>
      <c r="T143" s="386">
        <f t="shared" si="6"/>
        <v>156801</v>
      </c>
      <c r="U143" s="456"/>
    </row>
    <row r="144" spans="1:21" ht="105">
      <c r="A144" s="444">
        <f t="shared" ref="A144:A188" si="7">A143+1</f>
        <v>131</v>
      </c>
      <c r="B144" s="445"/>
      <c r="C144" s="446"/>
      <c r="D144" s="446"/>
      <c r="E144" s="446"/>
      <c r="F144" s="446"/>
      <c r="G144" s="446"/>
      <c r="H144" s="446"/>
      <c r="I144" s="447" t="s">
        <v>1128</v>
      </c>
      <c r="J144" s="448" t="s">
        <v>1129</v>
      </c>
      <c r="K144" s="449" t="s">
        <v>862</v>
      </c>
      <c r="L144" s="450" t="s">
        <v>852</v>
      </c>
      <c r="M144" s="451">
        <v>156801</v>
      </c>
      <c r="N144" s="452">
        <f>M144</f>
        <v>156801</v>
      </c>
      <c r="O144" s="453" t="s">
        <v>101</v>
      </c>
      <c r="P144" s="454">
        <v>0</v>
      </c>
      <c r="Q144" s="455">
        <v>0</v>
      </c>
      <c r="R144" s="386">
        <v>0</v>
      </c>
      <c r="S144" s="386">
        <v>0</v>
      </c>
      <c r="T144" s="386">
        <f t="shared" si="6"/>
        <v>156801</v>
      </c>
      <c r="U144" s="456"/>
    </row>
    <row r="145" spans="1:21" ht="105">
      <c r="A145" s="444">
        <f t="shared" si="7"/>
        <v>132</v>
      </c>
      <c r="B145" s="445"/>
      <c r="C145" s="446"/>
      <c r="D145" s="446"/>
      <c r="E145" s="446"/>
      <c r="F145" s="446"/>
      <c r="G145" s="446"/>
      <c r="H145" s="446"/>
      <c r="I145" s="447" t="s">
        <v>1130</v>
      </c>
      <c r="J145" s="448" t="s">
        <v>1131</v>
      </c>
      <c r="K145" s="449" t="s">
        <v>862</v>
      </c>
      <c r="L145" s="450" t="s">
        <v>852</v>
      </c>
      <c r="M145" s="451">
        <v>156801</v>
      </c>
      <c r="N145" s="452">
        <f>M145</f>
        <v>156801</v>
      </c>
      <c r="O145" s="453" t="s">
        <v>101</v>
      </c>
      <c r="P145" s="454">
        <v>0</v>
      </c>
      <c r="Q145" s="455">
        <v>0</v>
      </c>
      <c r="R145" s="386">
        <v>0</v>
      </c>
      <c r="S145" s="386">
        <v>0</v>
      </c>
      <c r="T145" s="386">
        <f t="shared" si="6"/>
        <v>156801</v>
      </c>
      <c r="U145" s="456"/>
    </row>
    <row r="146" spans="1:21" ht="105">
      <c r="A146" s="444">
        <f t="shared" si="7"/>
        <v>133</v>
      </c>
      <c r="B146" s="445"/>
      <c r="C146" s="446"/>
      <c r="D146" s="446"/>
      <c r="E146" s="446"/>
      <c r="F146" s="446"/>
      <c r="G146" s="446"/>
      <c r="H146" s="446"/>
      <c r="I146" s="447" t="s">
        <v>1132</v>
      </c>
      <c r="J146" s="448" t="s">
        <v>1133</v>
      </c>
      <c r="K146" s="449" t="s">
        <v>862</v>
      </c>
      <c r="L146" s="450" t="s">
        <v>852</v>
      </c>
      <c r="M146" s="451">
        <v>156801</v>
      </c>
      <c r="N146" s="452">
        <f>M146</f>
        <v>156801</v>
      </c>
      <c r="O146" s="453" t="s">
        <v>101</v>
      </c>
      <c r="P146" s="454">
        <v>0</v>
      </c>
      <c r="Q146" s="455">
        <v>0</v>
      </c>
      <c r="R146" s="386">
        <v>0</v>
      </c>
      <c r="S146" s="386">
        <v>0</v>
      </c>
      <c r="T146" s="386">
        <f t="shared" si="6"/>
        <v>156801</v>
      </c>
      <c r="U146" s="456"/>
    </row>
    <row r="147" spans="1:21" ht="105">
      <c r="A147" s="444">
        <f t="shared" si="7"/>
        <v>134</v>
      </c>
      <c r="B147" s="445"/>
      <c r="C147" s="446"/>
      <c r="D147" s="446"/>
      <c r="E147" s="446"/>
      <c r="F147" s="446"/>
      <c r="G147" s="446"/>
      <c r="H147" s="446"/>
      <c r="I147" s="447" t="s">
        <v>1134</v>
      </c>
      <c r="J147" s="448" t="s">
        <v>1135</v>
      </c>
      <c r="K147" s="449" t="s">
        <v>862</v>
      </c>
      <c r="L147" s="450" t="s">
        <v>852</v>
      </c>
      <c r="M147" s="451">
        <v>156801</v>
      </c>
      <c r="N147" s="452">
        <f>M147</f>
        <v>156801</v>
      </c>
      <c r="O147" s="453" t="s">
        <v>101</v>
      </c>
      <c r="P147" s="454">
        <v>0</v>
      </c>
      <c r="Q147" s="455">
        <v>0</v>
      </c>
      <c r="R147" s="386">
        <v>0</v>
      </c>
      <c r="S147" s="386">
        <v>0</v>
      </c>
      <c r="T147" s="386">
        <f t="shared" si="6"/>
        <v>156801</v>
      </c>
      <c r="U147" s="456"/>
    </row>
    <row r="148" spans="1:21" ht="105">
      <c r="A148" s="444">
        <f t="shared" si="7"/>
        <v>135</v>
      </c>
      <c r="B148" s="445"/>
      <c r="C148" s="446"/>
      <c r="D148" s="446"/>
      <c r="E148" s="446"/>
      <c r="F148" s="446"/>
      <c r="G148" s="446"/>
      <c r="H148" s="446"/>
      <c r="I148" s="447" t="s">
        <v>1136</v>
      </c>
      <c r="J148" s="448" t="s">
        <v>1137</v>
      </c>
      <c r="K148" s="449" t="s">
        <v>862</v>
      </c>
      <c r="L148" s="450" t="s">
        <v>852</v>
      </c>
      <c r="M148" s="451">
        <v>156801</v>
      </c>
      <c r="N148" s="452">
        <f>M148</f>
        <v>156801</v>
      </c>
      <c r="O148" s="453" t="s">
        <v>101</v>
      </c>
      <c r="P148" s="454">
        <v>0</v>
      </c>
      <c r="Q148" s="455">
        <v>0</v>
      </c>
      <c r="R148" s="386">
        <v>0</v>
      </c>
      <c r="S148" s="386">
        <v>0</v>
      </c>
      <c r="T148" s="386">
        <f t="shared" si="6"/>
        <v>156801</v>
      </c>
      <c r="U148" s="456"/>
    </row>
    <row r="149" spans="1:21" ht="105">
      <c r="A149" s="444">
        <f t="shared" si="7"/>
        <v>136</v>
      </c>
      <c r="B149" s="445"/>
      <c r="C149" s="446"/>
      <c r="D149" s="446"/>
      <c r="E149" s="446"/>
      <c r="F149" s="446"/>
      <c r="G149" s="446"/>
      <c r="H149" s="446"/>
      <c r="I149" s="447" t="s">
        <v>1138</v>
      </c>
      <c r="J149" s="448" t="s">
        <v>1139</v>
      </c>
      <c r="K149" s="449" t="s">
        <v>862</v>
      </c>
      <c r="L149" s="450" t="s">
        <v>852</v>
      </c>
      <c r="M149" s="451">
        <v>100800</v>
      </c>
      <c r="N149" s="452">
        <f t="shared" si="5"/>
        <v>100800</v>
      </c>
      <c r="O149" s="453" t="s">
        <v>101</v>
      </c>
      <c r="P149" s="454">
        <v>0</v>
      </c>
      <c r="Q149" s="455">
        <v>0</v>
      </c>
      <c r="R149" s="386">
        <v>0</v>
      </c>
      <c r="S149" s="386">
        <v>0</v>
      </c>
      <c r="T149" s="386">
        <f t="shared" si="6"/>
        <v>100800</v>
      </c>
      <c r="U149" s="456"/>
    </row>
    <row r="150" spans="1:21" ht="105">
      <c r="A150" s="444">
        <f t="shared" si="7"/>
        <v>137</v>
      </c>
      <c r="B150" s="445"/>
      <c r="C150" s="446"/>
      <c r="D150" s="446"/>
      <c r="E150" s="446"/>
      <c r="F150" s="446"/>
      <c r="G150" s="446"/>
      <c r="H150" s="446"/>
      <c r="I150" s="447" t="s">
        <v>1140</v>
      </c>
      <c r="J150" s="448" t="s">
        <v>1141</v>
      </c>
      <c r="K150" s="449" t="s">
        <v>862</v>
      </c>
      <c r="L150" s="450" t="s">
        <v>852</v>
      </c>
      <c r="M150" s="451">
        <v>100800</v>
      </c>
      <c r="N150" s="452">
        <f>M150</f>
        <v>100800</v>
      </c>
      <c r="O150" s="453" t="s">
        <v>101</v>
      </c>
      <c r="P150" s="454">
        <v>0</v>
      </c>
      <c r="Q150" s="455">
        <v>0</v>
      </c>
      <c r="R150" s="386">
        <v>0</v>
      </c>
      <c r="S150" s="386">
        <v>0</v>
      </c>
      <c r="T150" s="386">
        <f t="shared" si="6"/>
        <v>100800</v>
      </c>
      <c r="U150" s="456"/>
    </row>
    <row r="151" spans="1:21" ht="120">
      <c r="A151" s="444">
        <f t="shared" si="7"/>
        <v>138</v>
      </c>
      <c r="B151" s="445"/>
      <c r="C151" s="446"/>
      <c r="D151" s="446"/>
      <c r="E151" s="446"/>
      <c r="F151" s="446"/>
      <c r="G151" s="446"/>
      <c r="H151" s="446"/>
      <c r="I151" s="447" t="s">
        <v>1142</v>
      </c>
      <c r="J151" s="448" t="s">
        <v>1143</v>
      </c>
      <c r="K151" s="449" t="s">
        <v>862</v>
      </c>
      <c r="L151" s="450" t="s">
        <v>852</v>
      </c>
      <c r="M151" s="451">
        <v>100800</v>
      </c>
      <c r="N151" s="452">
        <f>M151</f>
        <v>100800</v>
      </c>
      <c r="O151" s="453" t="s">
        <v>101</v>
      </c>
      <c r="P151" s="454">
        <v>0</v>
      </c>
      <c r="Q151" s="455">
        <v>0</v>
      </c>
      <c r="R151" s="386">
        <v>0</v>
      </c>
      <c r="S151" s="386">
        <v>0</v>
      </c>
      <c r="T151" s="386">
        <f t="shared" si="6"/>
        <v>100800</v>
      </c>
      <c r="U151" s="456"/>
    </row>
    <row r="152" spans="1:21" ht="105">
      <c r="A152" s="444">
        <f t="shared" si="7"/>
        <v>139</v>
      </c>
      <c r="B152" s="445"/>
      <c r="C152" s="446"/>
      <c r="D152" s="446"/>
      <c r="E152" s="446"/>
      <c r="F152" s="446"/>
      <c r="G152" s="446"/>
      <c r="H152" s="446"/>
      <c r="I152" s="447" t="s">
        <v>1144</v>
      </c>
      <c r="J152" s="448" t="s">
        <v>1145</v>
      </c>
      <c r="K152" s="449" t="s">
        <v>862</v>
      </c>
      <c r="L152" s="450" t="s">
        <v>852</v>
      </c>
      <c r="M152" s="451">
        <v>100800</v>
      </c>
      <c r="N152" s="452">
        <f>M152</f>
        <v>100800</v>
      </c>
      <c r="O152" s="453" t="s">
        <v>101</v>
      </c>
      <c r="P152" s="454">
        <v>0</v>
      </c>
      <c r="Q152" s="455">
        <v>0</v>
      </c>
      <c r="R152" s="386">
        <v>0</v>
      </c>
      <c r="S152" s="386">
        <v>0</v>
      </c>
      <c r="T152" s="386">
        <f t="shared" si="6"/>
        <v>100800</v>
      </c>
      <c r="U152" s="456"/>
    </row>
    <row r="153" spans="1:21" ht="45">
      <c r="A153" s="444">
        <f t="shared" si="7"/>
        <v>140</v>
      </c>
      <c r="B153" s="445"/>
      <c r="C153" s="446"/>
      <c r="D153" s="446"/>
      <c r="E153" s="446"/>
      <c r="F153" s="446"/>
      <c r="G153" s="446"/>
      <c r="H153" s="446"/>
      <c r="I153" s="447" t="s">
        <v>1146</v>
      </c>
      <c r="J153" s="448" t="s">
        <v>1147</v>
      </c>
      <c r="K153" s="449" t="s">
        <v>851</v>
      </c>
      <c r="L153" s="450" t="s">
        <v>852</v>
      </c>
      <c r="M153" s="451">
        <v>600000</v>
      </c>
      <c r="N153" s="452">
        <f t="shared" si="5"/>
        <v>600000</v>
      </c>
      <c r="O153" s="453" t="s">
        <v>101</v>
      </c>
      <c r="P153" s="454">
        <v>0</v>
      </c>
      <c r="Q153" s="455">
        <v>0</v>
      </c>
      <c r="R153" s="386">
        <v>0</v>
      </c>
      <c r="S153" s="386">
        <v>0</v>
      </c>
      <c r="T153" s="386">
        <f t="shared" si="6"/>
        <v>600000</v>
      </c>
      <c r="U153" s="456"/>
    </row>
    <row r="154" spans="1:21" ht="45">
      <c r="A154" s="444">
        <f t="shared" si="7"/>
        <v>141</v>
      </c>
      <c r="B154" s="445"/>
      <c r="C154" s="446"/>
      <c r="D154" s="446"/>
      <c r="E154" s="446"/>
      <c r="F154" s="446"/>
      <c r="G154" s="446"/>
      <c r="H154" s="446"/>
      <c r="I154" s="447" t="s">
        <v>1148</v>
      </c>
      <c r="J154" s="448" t="s">
        <v>1078</v>
      </c>
      <c r="K154" s="449" t="s">
        <v>851</v>
      </c>
      <c r="L154" s="450" t="s">
        <v>852</v>
      </c>
      <c r="M154" s="451">
        <v>1920000</v>
      </c>
      <c r="N154" s="452">
        <f t="shared" si="5"/>
        <v>1920000</v>
      </c>
      <c r="O154" s="453" t="s">
        <v>101</v>
      </c>
      <c r="P154" s="454">
        <v>0</v>
      </c>
      <c r="Q154" s="455">
        <v>0</v>
      </c>
      <c r="R154" s="386">
        <v>0</v>
      </c>
      <c r="S154" s="386">
        <v>0</v>
      </c>
      <c r="T154" s="386">
        <f t="shared" si="6"/>
        <v>1920000</v>
      </c>
      <c r="U154" s="456"/>
    </row>
    <row r="155" spans="1:21" ht="45">
      <c r="A155" s="444">
        <f t="shared" si="7"/>
        <v>142</v>
      </c>
      <c r="B155" s="445"/>
      <c r="C155" s="446"/>
      <c r="D155" s="446"/>
      <c r="E155" s="446"/>
      <c r="F155" s="446"/>
      <c r="G155" s="446"/>
      <c r="H155" s="446"/>
      <c r="I155" s="447" t="s">
        <v>1149</v>
      </c>
      <c r="J155" s="448" t="s">
        <v>1150</v>
      </c>
      <c r="K155" s="449" t="s">
        <v>851</v>
      </c>
      <c r="L155" s="450" t="s">
        <v>852</v>
      </c>
      <c r="M155" s="451">
        <v>1080000</v>
      </c>
      <c r="N155" s="452">
        <f t="shared" si="5"/>
        <v>1080000</v>
      </c>
      <c r="O155" s="453" t="s">
        <v>101</v>
      </c>
      <c r="P155" s="454">
        <v>0</v>
      </c>
      <c r="Q155" s="455">
        <v>0</v>
      </c>
      <c r="R155" s="386">
        <v>0</v>
      </c>
      <c r="S155" s="386">
        <v>0</v>
      </c>
      <c r="T155" s="386">
        <f t="shared" si="6"/>
        <v>1080000</v>
      </c>
      <c r="U155" s="456"/>
    </row>
    <row r="156" spans="1:21" ht="75">
      <c r="A156" s="444">
        <f t="shared" si="7"/>
        <v>143</v>
      </c>
      <c r="B156" s="445"/>
      <c r="C156" s="446"/>
      <c r="D156" s="446"/>
      <c r="E156" s="446"/>
      <c r="F156" s="446"/>
      <c r="G156" s="446"/>
      <c r="H156" s="446"/>
      <c r="I156" s="447" t="s">
        <v>1151</v>
      </c>
      <c r="J156" s="448" t="s">
        <v>1152</v>
      </c>
      <c r="K156" s="449" t="s">
        <v>901</v>
      </c>
      <c r="L156" s="450" t="s">
        <v>852</v>
      </c>
      <c r="M156" s="451">
        <v>420000</v>
      </c>
      <c r="N156" s="452">
        <f t="shared" si="5"/>
        <v>420000</v>
      </c>
      <c r="O156" s="453" t="s">
        <v>101</v>
      </c>
      <c r="P156" s="454">
        <v>0</v>
      </c>
      <c r="Q156" s="455">
        <v>0</v>
      </c>
      <c r="R156" s="386">
        <v>0</v>
      </c>
      <c r="S156" s="386">
        <v>0</v>
      </c>
      <c r="T156" s="386">
        <f t="shared" si="6"/>
        <v>420000</v>
      </c>
      <c r="U156" s="456"/>
    </row>
    <row r="157" spans="1:21" ht="45">
      <c r="A157" s="444">
        <f t="shared" si="7"/>
        <v>144</v>
      </c>
      <c r="B157" s="445"/>
      <c r="C157" s="446"/>
      <c r="D157" s="446"/>
      <c r="E157" s="446"/>
      <c r="F157" s="446"/>
      <c r="G157" s="446"/>
      <c r="H157" s="446"/>
      <c r="I157" s="447" t="s">
        <v>1153</v>
      </c>
      <c r="J157" s="448" t="s">
        <v>1154</v>
      </c>
      <c r="K157" s="449" t="s">
        <v>901</v>
      </c>
      <c r="L157" s="450" t="s">
        <v>852</v>
      </c>
      <c r="M157" s="451">
        <v>120000</v>
      </c>
      <c r="N157" s="452">
        <f t="shared" si="5"/>
        <v>120000</v>
      </c>
      <c r="O157" s="453" t="s">
        <v>101</v>
      </c>
      <c r="P157" s="454">
        <v>0</v>
      </c>
      <c r="Q157" s="455">
        <v>0</v>
      </c>
      <c r="R157" s="386">
        <v>0</v>
      </c>
      <c r="S157" s="386">
        <v>0</v>
      </c>
      <c r="T157" s="386">
        <f t="shared" si="6"/>
        <v>120000</v>
      </c>
      <c r="U157" s="456"/>
    </row>
    <row r="158" spans="1:21" ht="75">
      <c r="A158" s="444">
        <f t="shared" si="7"/>
        <v>145</v>
      </c>
      <c r="B158" s="445"/>
      <c r="C158" s="446"/>
      <c r="D158" s="446"/>
      <c r="E158" s="446"/>
      <c r="F158" s="446"/>
      <c r="G158" s="446"/>
      <c r="H158" s="446"/>
      <c r="I158" s="447" t="s">
        <v>1155</v>
      </c>
      <c r="J158" s="448" t="s">
        <v>1156</v>
      </c>
      <c r="K158" s="449" t="s">
        <v>901</v>
      </c>
      <c r="L158" s="450" t="s">
        <v>852</v>
      </c>
      <c r="M158" s="451">
        <v>240000</v>
      </c>
      <c r="N158" s="452">
        <f t="shared" si="5"/>
        <v>240000</v>
      </c>
      <c r="O158" s="453" t="s">
        <v>101</v>
      </c>
      <c r="P158" s="454">
        <v>0</v>
      </c>
      <c r="Q158" s="455">
        <v>0</v>
      </c>
      <c r="R158" s="386">
        <v>0</v>
      </c>
      <c r="S158" s="386">
        <v>0</v>
      </c>
      <c r="T158" s="386">
        <f t="shared" si="6"/>
        <v>240000</v>
      </c>
      <c r="U158" s="456"/>
    </row>
    <row r="159" spans="1:21" ht="75">
      <c r="A159" s="444">
        <f t="shared" si="7"/>
        <v>146</v>
      </c>
      <c r="B159" s="445"/>
      <c r="C159" s="446"/>
      <c r="D159" s="446"/>
      <c r="E159" s="446"/>
      <c r="F159" s="446"/>
      <c r="G159" s="446"/>
      <c r="H159" s="446"/>
      <c r="I159" s="447" t="s">
        <v>1157</v>
      </c>
      <c r="J159" s="448" t="s">
        <v>1158</v>
      </c>
      <c r="K159" s="449" t="s">
        <v>901</v>
      </c>
      <c r="L159" s="450" t="s">
        <v>852</v>
      </c>
      <c r="M159" s="451">
        <v>420000</v>
      </c>
      <c r="N159" s="452">
        <f t="shared" si="5"/>
        <v>420000</v>
      </c>
      <c r="O159" s="453" t="s">
        <v>101</v>
      </c>
      <c r="P159" s="454">
        <v>0</v>
      </c>
      <c r="Q159" s="455">
        <v>0</v>
      </c>
      <c r="R159" s="386">
        <v>0</v>
      </c>
      <c r="S159" s="386">
        <v>0</v>
      </c>
      <c r="T159" s="386">
        <f t="shared" si="6"/>
        <v>420000</v>
      </c>
      <c r="U159" s="456"/>
    </row>
    <row r="160" spans="1:21" ht="45">
      <c r="A160" s="444">
        <f t="shared" si="7"/>
        <v>147</v>
      </c>
      <c r="B160" s="445"/>
      <c r="C160" s="446"/>
      <c r="D160" s="446"/>
      <c r="E160" s="446"/>
      <c r="F160" s="446"/>
      <c r="G160" s="446"/>
      <c r="H160" s="446"/>
      <c r="I160" s="447" t="s">
        <v>1159</v>
      </c>
      <c r="J160" s="448" t="s">
        <v>1160</v>
      </c>
      <c r="K160" s="449" t="s">
        <v>862</v>
      </c>
      <c r="L160" s="450" t="s">
        <v>852</v>
      </c>
      <c r="M160" s="451">
        <v>720000</v>
      </c>
      <c r="N160" s="452">
        <f t="shared" si="5"/>
        <v>720000</v>
      </c>
      <c r="O160" s="453" t="s">
        <v>101</v>
      </c>
      <c r="P160" s="454">
        <v>0</v>
      </c>
      <c r="Q160" s="455">
        <v>0</v>
      </c>
      <c r="R160" s="386">
        <v>0</v>
      </c>
      <c r="S160" s="386">
        <v>0</v>
      </c>
      <c r="T160" s="386">
        <f t="shared" si="6"/>
        <v>720000</v>
      </c>
      <c r="U160" s="456"/>
    </row>
    <row r="161" spans="1:21" ht="60">
      <c r="A161" s="444">
        <f t="shared" si="7"/>
        <v>148</v>
      </c>
      <c r="B161" s="445"/>
      <c r="C161" s="446"/>
      <c r="D161" s="446"/>
      <c r="E161" s="446"/>
      <c r="F161" s="446"/>
      <c r="G161" s="446"/>
      <c r="H161" s="446"/>
      <c r="I161" s="447" t="s">
        <v>1161</v>
      </c>
      <c r="J161" s="448" t="s">
        <v>1162</v>
      </c>
      <c r="K161" s="449" t="s">
        <v>862</v>
      </c>
      <c r="L161" s="450" t="s">
        <v>852</v>
      </c>
      <c r="M161" s="451">
        <v>128000</v>
      </c>
      <c r="N161" s="452">
        <f t="shared" si="5"/>
        <v>128000</v>
      </c>
      <c r="O161" s="453" t="s">
        <v>101</v>
      </c>
      <c r="P161" s="454">
        <v>0</v>
      </c>
      <c r="Q161" s="455">
        <v>0</v>
      </c>
      <c r="R161" s="386">
        <v>0</v>
      </c>
      <c r="S161" s="386">
        <v>0</v>
      </c>
      <c r="T161" s="386">
        <f t="shared" si="6"/>
        <v>128000</v>
      </c>
      <c r="U161" s="456"/>
    </row>
    <row r="162" spans="1:21" ht="60">
      <c r="A162" s="444">
        <f t="shared" si="7"/>
        <v>149</v>
      </c>
      <c r="B162" s="445"/>
      <c r="C162" s="446"/>
      <c r="D162" s="446"/>
      <c r="E162" s="446"/>
      <c r="F162" s="446"/>
      <c r="G162" s="446"/>
      <c r="H162" s="446"/>
      <c r="I162" s="447" t="s">
        <v>1163</v>
      </c>
      <c r="J162" s="448" t="s">
        <v>1164</v>
      </c>
      <c r="K162" s="449" t="s">
        <v>862</v>
      </c>
      <c r="L162" s="450" t="s">
        <v>852</v>
      </c>
      <c r="M162" s="451">
        <v>128000</v>
      </c>
      <c r="N162" s="452">
        <f>M162</f>
        <v>128000</v>
      </c>
      <c r="O162" s="453" t="s">
        <v>101</v>
      </c>
      <c r="P162" s="454">
        <v>0</v>
      </c>
      <c r="Q162" s="455">
        <v>0</v>
      </c>
      <c r="R162" s="386">
        <v>0</v>
      </c>
      <c r="S162" s="386">
        <v>0</v>
      </c>
      <c r="T162" s="386">
        <f t="shared" si="6"/>
        <v>128000</v>
      </c>
      <c r="U162" s="456"/>
    </row>
    <row r="163" spans="1:21" ht="45">
      <c r="A163" s="444">
        <f t="shared" si="7"/>
        <v>150</v>
      </c>
      <c r="B163" s="445"/>
      <c r="C163" s="446"/>
      <c r="D163" s="446"/>
      <c r="E163" s="446"/>
      <c r="F163" s="446"/>
      <c r="G163" s="446"/>
      <c r="H163" s="446"/>
      <c r="I163" s="447" t="s">
        <v>1165</v>
      </c>
      <c r="J163" s="448" t="s">
        <v>1166</v>
      </c>
      <c r="K163" s="449" t="s">
        <v>862</v>
      </c>
      <c r="L163" s="450" t="s">
        <v>852</v>
      </c>
      <c r="M163" s="451">
        <v>128000</v>
      </c>
      <c r="N163" s="452">
        <f>M163</f>
        <v>128000</v>
      </c>
      <c r="O163" s="453" t="s">
        <v>101</v>
      </c>
      <c r="P163" s="454">
        <v>0</v>
      </c>
      <c r="Q163" s="455">
        <v>0</v>
      </c>
      <c r="R163" s="386">
        <v>0</v>
      </c>
      <c r="S163" s="386">
        <v>0</v>
      </c>
      <c r="T163" s="386">
        <f t="shared" si="6"/>
        <v>128000</v>
      </c>
      <c r="U163" s="456"/>
    </row>
    <row r="164" spans="1:21" ht="60">
      <c r="A164" s="444">
        <f t="shared" si="7"/>
        <v>151</v>
      </c>
      <c r="B164" s="445"/>
      <c r="C164" s="446"/>
      <c r="D164" s="446"/>
      <c r="E164" s="446"/>
      <c r="F164" s="446"/>
      <c r="G164" s="446"/>
      <c r="H164" s="446"/>
      <c r="I164" s="447" t="s">
        <v>1167</v>
      </c>
      <c r="J164" s="448" t="s">
        <v>1168</v>
      </c>
      <c r="K164" s="449" t="s">
        <v>862</v>
      </c>
      <c r="L164" s="450" t="s">
        <v>852</v>
      </c>
      <c r="M164" s="451">
        <v>72000</v>
      </c>
      <c r="N164" s="452">
        <f t="shared" si="5"/>
        <v>72000</v>
      </c>
      <c r="O164" s="453" t="s">
        <v>101</v>
      </c>
      <c r="P164" s="454">
        <v>0</v>
      </c>
      <c r="Q164" s="455">
        <v>0</v>
      </c>
      <c r="R164" s="386">
        <v>0</v>
      </c>
      <c r="S164" s="386">
        <v>0</v>
      </c>
      <c r="T164" s="386">
        <f t="shared" si="6"/>
        <v>72000</v>
      </c>
      <c r="U164" s="456"/>
    </row>
    <row r="165" spans="1:21" ht="60">
      <c r="A165" s="444">
        <f t="shared" si="7"/>
        <v>152</v>
      </c>
      <c r="B165" s="445"/>
      <c r="C165" s="446"/>
      <c r="D165" s="446"/>
      <c r="E165" s="446"/>
      <c r="F165" s="446"/>
      <c r="G165" s="446"/>
      <c r="H165" s="446"/>
      <c r="I165" s="447" t="s">
        <v>1169</v>
      </c>
      <c r="J165" s="448" t="s">
        <v>1170</v>
      </c>
      <c r="K165" s="449" t="s">
        <v>862</v>
      </c>
      <c r="L165" s="450" t="s">
        <v>852</v>
      </c>
      <c r="M165" s="451">
        <v>72000</v>
      </c>
      <c r="N165" s="452">
        <f>M165</f>
        <v>72000</v>
      </c>
      <c r="O165" s="453" t="s">
        <v>101</v>
      </c>
      <c r="P165" s="454">
        <v>0</v>
      </c>
      <c r="Q165" s="455">
        <v>0</v>
      </c>
      <c r="R165" s="386">
        <v>0</v>
      </c>
      <c r="S165" s="386">
        <v>0</v>
      </c>
      <c r="T165" s="386">
        <f t="shared" si="6"/>
        <v>72000</v>
      </c>
      <c r="U165" s="456"/>
    </row>
    <row r="166" spans="1:21" ht="45">
      <c r="A166" s="444">
        <f t="shared" si="7"/>
        <v>153</v>
      </c>
      <c r="B166" s="445"/>
      <c r="C166" s="446"/>
      <c r="D166" s="446"/>
      <c r="E166" s="446"/>
      <c r="F166" s="446"/>
      <c r="G166" s="446"/>
      <c r="H166" s="446"/>
      <c r="I166" s="447" t="s">
        <v>1171</v>
      </c>
      <c r="J166" s="448" t="s">
        <v>1172</v>
      </c>
      <c r="K166" s="449" t="s">
        <v>862</v>
      </c>
      <c r="L166" s="450" t="s">
        <v>852</v>
      </c>
      <c r="M166" s="451">
        <v>72000</v>
      </c>
      <c r="N166" s="452">
        <f>M166</f>
        <v>72000</v>
      </c>
      <c r="O166" s="453" t="s">
        <v>101</v>
      </c>
      <c r="P166" s="454">
        <v>0</v>
      </c>
      <c r="Q166" s="455">
        <v>0</v>
      </c>
      <c r="R166" s="386">
        <v>0</v>
      </c>
      <c r="S166" s="386">
        <v>0</v>
      </c>
      <c r="T166" s="386">
        <f t="shared" si="6"/>
        <v>72000</v>
      </c>
      <c r="U166" s="456"/>
    </row>
    <row r="167" spans="1:21" ht="60">
      <c r="A167" s="444">
        <f t="shared" si="7"/>
        <v>154</v>
      </c>
      <c r="B167" s="445"/>
      <c r="C167" s="446"/>
      <c r="D167" s="446"/>
      <c r="E167" s="446"/>
      <c r="F167" s="446"/>
      <c r="G167" s="446"/>
      <c r="H167" s="446"/>
      <c r="I167" s="447" t="s">
        <v>1173</v>
      </c>
      <c r="J167" s="448" t="s">
        <v>1174</v>
      </c>
      <c r="K167" s="449" t="s">
        <v>862</v>
      </c>
      <c r="L167" s="450" t="s">
        <v>852</v>
      </c>
      <c r="M167" s="451">
        <v>72000</v>
      </c>
      <c r="N167" s="452">
        <f>M167</f>
        <v>72000</v>
      </c>
      <c r="O167" s="453" t="s">
        <v>101</v>
      </c>
      <c r="P167" s="454">
        <v>0</v>
      </c>
      <c r="Q167" s="455">
        <v>0</v>
      </c>
      <c r="R167" s="386">
        <v>0</v>
      </c>
      <c r="S167" s="386">
        <v>0</v>
      </c>
      <c r="T167" s="386">
        <f t="shared" si="6"/>
        <v>72000</v>
      </c>
      <c r="U167" s="456"/>
    </row>
    <row r="168" spans="1:21" ht="105">
      <c r="A168" s="444">
        <f t="shared" si="7"/>
        <v>155</v>
      </c>
      <c r="B168" s="445"/>
      <c r="C168" s="446"/>
      <c r="D168" s="446"/>
      <c r="E168" s="446"/>
      <c r="F168" s="446"/>
      <c r="G168" s="446"/>
      <c r="H168" s="446"/>
      <c r="I168" s="447" t="s">
        <v>1175</v>
      </c>
      <c r="J168" s="448" t="s">
        <v>1176</v>
      </c>
      <c r="K168" s="449" t="s">
        <v>862</v>
      </c>
      <c r="L168" s="450" t="s">
        <v>852</v>
      </c>
      <c r="M168" s="451">
        <v>100800</v>
      </c>
      <c r="N168" s="452">
        <f t="shared" si="5"/>
        <v>100800</v>
      </c>
      <c r="O168" s="453" t="s">
        <v>101</v>
      </c>
      <c r="P168" s="454">
        <v>0</v>
      </c>
      <c r="Q168" s="455">
        <v>0</v>
      </c>
      <c r="R168" s="386">
        <v>0</v>
      </c>
      <c r="S168" s="386">
        <v>0</v>
      </c>
      <c r="T168" s="386">
        <f t="shared" si="6"/>
        <v>100800</v>
      </c>
      <c r="U168" s="456"/>
    </row>
    <row r="169" spans="1:21" ht="105">
      <c r="A169" s="444">
        <f t="shared" si="7"/>
        <v>156</v>
      </c>
      <c r="B169" s="445"/>
      <c r="C169" s="446"/>
      <c r="D169" s="446"/>
      <c r="E169" s="446"/>
      <c r="F169" s="446"/>
      <c r="G169" s="446"/>
      <c r="H169" s="446"/>
      <c r="I169" s="447" t="s">
        <v>1177</v>
      </c>
      <c r="J169" s="448" t="s">
        <v>1178</v>
      </c>
      <c r="K169" s="449" t="s">
        <v>862</v>
      </c>
      <c r="L169" s="450" t="s">
        <v>852</v>
      </c>
      <c r="M169" s="451">
        <v>100800</v>
      </c>
      <c r="N169" s="452">
        <f>M169</f>
        <v>100800</v>
      </c>
      <c r="O169" s="453" t="s">
        <v>101</v>
      </c>
      <c r="P169" s="454">
        <v>0</v>
      </c>
      <c r="Q169" s="455">
        <v>0</v>
      </c>
      <c r="R169" s="386">
        <v>0</v>
      </c>
      <c r="S169" s="386">
        <v>0</v>
      </c>
      <c r="T169" s="386">
        <f t="shared" si="6"/>
        <v>100800</v>
      </c>
      <c r="U169" s="456"/>
    </row>
    <row r="170" spans="1:21" ht="105">
      <c r="A170" s="444">
        <f t="shared" si="7"/>
        <v>157</v>
      </c>
      <c r="B170" s="445"/>
      <c r="C170" s="446"/>
      <c r="D170" s="446"/>
      <c r="E170" s="446"/>
      <c r="F170" s="446"/>
      <c r="G170" s="446"/>
      <c r="H170" s="446"/>
      <c r="I170" s="447" t="s">
        <v>1179</v>
      </c>
      <c r="J170" s="448" t="s">
        <v>1180</v>
      </c>
      <c r="K170" s="449" t="s">
        <v>862</v>
      </c>
      <c r="L170" s="450" t="s">
        <v>852</v>
      </c>
      <c r="M170" s="451">
        <v>100800</v>
      </c>
      <c r="N170" s="452">
        <f>M170</f>
        <v>100800</v>
      </c>
      <c r="O170" s="453" t="s">
        <v>101</v>
      </c>
      <c r="P170" s="454">
        <v>0</v>
      </c>
      <c r="Q170" s="455">
        <v>0</v>
      </c>
      <c r="R170" s="386">
        <v>0</v>
      </c>
      <c r="S170" s="386">
        <v>0</v>
      </c>
      <c r="T170" s="386">
        <f t="shared" si="6"/>
        <v>100800</v>
      </c>
      <c r="U170" s="456"/>
    </row>
    <row r="171" spans="1:21" ht="105">
      <c r="A171" s="444">
        <f t="shared" si="7"/>
        <v>158</v>
      </c>
      <c r="B171" s="445"/>
      <c r="C171" s="446"/>
      <c r="D171" s="446"/>
      <c r="E171" s="446"/>
      <c r="F171" s="446"/>
      <c r="G171" s="446"/>
      <c r="H171" s="446"/>
      <c r="I171" s="447" t="s">
        <v>1181</v>
      </c>
      <c r="J171" s="448" t="s">
        <v>1182</v>
      </c>
      <c r="K171" s="449" t="s">
        <v>862</v>
      </c>
      <c r="L171" s="450" t="s">
        <v>852</v>
      </c>
      <c r="M171" s="451">
        <v>100800</v>
      </c>
      <c r="N171" s="452">
        <f>M171</f>
        <v>100800</v>
      </c>
      <c r="O171" s="453" t="s">
        <v>101</v>
      </c>
      <c r="P171" s="454">
        <v>0</v>
      </c>
      <c r="Q171" s="455">
        <v>0</v>
      </c>
      <c r="R171" s="386">
        <v>0</v>
      </c>
      <c r="S171" s="386">
        <v>0</v>
      </c>
      <c r="T171" s="386">
        <f t="shared" si="6"/>
        <v>100800</v>
      </c>
      <c r="U171" s="456"/>
    </row>
    <row r="172" spans="1:21" ht="105">
      <c r="A172" s="444">
        <f t="shared" si="7"/>
        <v>159</v>
      </c>
      <c r="B172" s="445"/>
      <c r="C172" s="446"/>
      <c r="D172" s="446"/>
      <c r="E172" s="446"/>
      <c r="F172" s="446"/>
      <c r="G172" s="446"/>
      <c r="H172" s="446"/>
      <c r="I172" s="447" t="s">
        <v>1183</v>
      </c>
      <c r="J172" s="448" t="s">
        <v>1184</v>
      </c>
      <c r="K172" s="449" t="s">
        <v>862</v>
      </c>
      <c r="L172" s="450" t="s">
        <v>852</v>
      </c>
      <c r="M172" s="451">
        <v>161280</v>
      </c>
      <c r="N172" s="452">
        <f t="shared" si="5"/>
        <v>161280</v>
      </c>
      <c r="O172" s="453" t="s">
        <v>101</v>
      </c>
      <c r="P172" s="454">
        <v>0</v>
      </c>
      <c r="Q172" s="455">
        <v>0</v>
      </c>
      <c r="R172" s="386">
        <v>0</v>
      </c>
      <c r="S172" s="386">
        <v>0</v>
      </c>
      <c r="T172" s="386">
        <f t="shared" si="6"/>
        <v>161280</v>
      </c>
      <c r="U172" s="456"/>
    </row>
    <row r="173" spans="1:21" ht="105">
      <c r="A173" s="444">
        <f t="shared" si="7"/>
        <v>160</v>
      </c>
      <c r="B173" s="445"/>
      <c r="C173" s="446"/>
      <c r="D173" s="446"/>
      <c r="E173" s="446"/>
      <c r="F173" s="446"/>
      <c r="G173" s="446"/>
      <c r="H173" s="446"/>
      <c r="I173" s="447" t="s">
        <v>1185</v>
      </c>
      <c r="J173" s="448" t="s">
        <v>1186</v>
      </c>
      <c r="K173" s="449" t="s">
        <v>862</v>
      </c>
      <c r="L173" s="450" t="s">
        <v>852</v>
      </c>
      <c r="M173" s="451">
        <v>161280</v>
      </c>
      <c r="N173" s="452">
        <f t="shared" si="5"/>
        <v>161280</v>
      </c>
      <c r="O173" s="453" t="s">
        <v>101</v>
      </c>
      <c r="P173" s="454">
        <v>0</v>
      </c>
      <c r="Q173" s="455">
        <v>0</v>
      </c>
      <c r="R173" s="386">
        <v>0</v>
      </c>
      <c r="S173" s="386">
        <v>0</v>
      </c>
      <c r="T173" s="386">
        <f t="shared" si="6"/>
        <v>161280</v>
      </c>
      <c r="U173" s="456"/>
    </row>
    <row r="174" spans="1:21" ht="105">
      <c r="A174" s="444">
        <f t="shared" si="7"/>
        <v>161</v>
      </c>
      <c r="B174" s="445"/>
      <c r="C174" s="446"/>
      <c r="D174" s="446"/>
      <c r="E174" s="446"/>
      <c r="F174" s="446"/>
      <c r="G174" s="446"/>
      <c r="H174" s="446"/>
      <c r="I174" s="447" t="s">
        <v>1187</v>
      </c>
      <c r="J174" s="448" t="s">
        <v>1188</v>
      </c>
      <c r="K174" s="449" t="s">
        <v>862</v>
      </c>
      <c r="L174" s="450" t="s">
        <v>852</v>
      </c>
      <c r="M174" s="451">
        <v>161280</v>
      </c>
      <c r="N174" s="452">
        <f t="shared" si="5"/>
        <v>161280</v>
      </c>
      <c r="O174" s="453" t="s">
        <v>101</v>
      </c>
      <c r="P174" s="454">
        <v>0</v>
      </c>
      <c r="Q174" s="455">
        <v>0</v>
      </c>
      <c r="R174" s="386">
        <v>0</v>
      </c>
      <c r="S174" s="386">
        <v>0</v>
      </c>
      <c r="T174" s="386">
        <f t="shared" si="6"/>
        <v>161280</v>
      </c>
      <c r="U174" s="456"/>
    </row>
    <row r="175" spans="1:21" ht="105">
      <c r="A175" s="444">
        <f t="shared" si="7"/>
        <v>162</v>
      </c>
      <c r="B175" s="445"/>
      <c r="C175" s="446"/>
      <c r="D175" s="446"/>
      <c r="E175" s="446"/>
      <c r="F175" s="446"/>
      <c r="G175" s="446"/>
      <c r="H175" s="446"/>
      <c r="I175" s="447" t="s">
        <v>1189</v>
      </c>
      <c r="J175" s="448" t="s">
        <v>1190</v>
      </c>
      <c r="K175" s="449" t="s">
        <v>862</v>
      </c>
      <c r="L175" s="450" t="s">
        <v>852</v>
      </c>
      <c r="M175" s="451">
        <v>161280</v>
      </c>
      <c r="N175" s="452">
        <f t="shared" si="5"/>
        <v>161280</v>
      </c>
      <c r="O175" s="453" t="s">
        <v>101</v>
      </c>
      <c r="P175" s="454">
        <v>0</v>
      </c>
      <c r="Q175" s="455">
        <v>0</v>
      </c>
      <c r="R175" s="386">
        <v>0</v>
      </c>
      <c r="S175" s="386">
        <v>0</v>
      </c>
      <c r="T175" s="386">
        <f t="shared" si="6"/>
        <v>161280</v>
      </c>
      <c r="U175" s="456"/>
    </row>
    <row r="176" spans="1:21" ht="105">
      <c r="A176" s="444">
        <f t="shared" si="7"/>
        <v>163</v>
      </c>
      <c r="B176" s="445"/>
      <c r="C176" s="446"/>
      <c r="D176" s="446"/>
      <c r="E176" s="446"/>
      <c r="F176" s="446"/>
      <c r="G176" s="446"/>
      <c r="H176" s="446"/>
      <c r="I176" s="447" t="s">
        <v>1191</v>
      </c>
      <c r="J176" s="448" t="s">
        <v>1192</v>
      </c>
      <c r="K176" s="449" t="s">
        <v>862</v>
      </c>
      <c r="L176" s="450" t="s">
        <v>852</v>
      </c>
      <c r="M176" s="451">
        <v>161280</v>
      </c>
      <c r="N176" s="452">
        <f>M176</f>
        <v>161280</v>
      </c>
      <c r="O176" s="453" t="s">
        <v>101</v>
      </c>
      <c r="P176" s="454">
        <v>0</v>
      </c>
      <c r="Q176" s="455">
        <v>0</v>
      </c>
      <c r="R176" s="386">
        <v>0</v>
      </c>
      <c r="S176" s="386">
        <v>0</v>
      </c>
      <c r="T176" s="386">
        <f t="shared" si="6"/>
        <v>161280</v>
      </c>
      <c r="U176" s="456"/>
    </row>
    <row r="177" spans="1:21" ht="45">
      <c r="A177" s="444">
        <f t="shared" si="7"/>
        <v>164</v>
      </c>
      <c r="B177" s="445"/>
      <c r="C177" s="446"/>
      <c r="D177" s="446"/>
      <c r="E177" s="446"/>
      <c r="F177" s="446"/>
      <c r="G177" s="446"/>
      <c r="H177" s="446"/>
      <c r="I177" s="447" t="s">
        <v>1193</v>
      </c>
      <c r="J177" s="448" t="s">
        <v>1078</v>
      </c>
      <c r="K177" s="449" t="s">
        <v>851</v>
      </c>
      <c r="L177" s="450" t="s">
        <v>852</v>
      </c>
      <c r="M177" s="451">
        <v>3600000</v>
      </c>
      <c r="N177" s="452">
        <f t="shared" si="5"/>
        <v>3600000</v>
      </c>
      <c r="O177" s="453" t="s">
        <v>101</v>
      </c>
      <c r="P177" s="454">
        <v>0</v>
      </c>
      <c r="Q177" s="455">
        <v>0</v>
      </c>
      <c r="R177" s="386">
        <v>0</v>
      </c>
      <c r="S177" s="386">
        <v>0</v>
      </c>
      <c r="T177" s="386">
        <f t="shared" si="6"/>
        <v>3600000</v>
      </c>
      <c r="U177" s="456"/>
    </row>
    <row r="178" spans="1:21" ht="60">
      <c r="A178" s="444">
        <f t="shared" si="7"/>
        <v>165</v>
      </c>
      <c r="B178" s="445"/>
      <c r="C178" s="446"/>
      <c r="D178" s="446"/>
      <c r="E178" s="446"/>
      <c r="F178" s="446"/>
      <c r="G178" s="446"/>
      <c r="H178" s="446"/>
      <c r="I178" s="447" t="s">
        <v>1194</v>
      </c>
      <c r="J178" s="448" t="s">
        <v>1195</v>
      </c>
      <c r="K178" s="449" t="s">
        <v>901</v>
      </c>
      <c r="L178" s="450" t="s">
        <v>852</v>
      </c>
      <c r="M178" s="451">
        <v>60000</v>
      </c>
      <c r="N178" s="452">
        <f t="shared" si="5"/>
        <v>60000</v>
      </c>
      <c r="O178" s="453" t="s">
        <v>101</v>
      </c>
      <c r="P178" s="454">
        <v>0</v>
      </c>
      <c r="Q178" s="455">
        <v>0</v>
      </c>
      <c r="R178" s="386">
        <v>0</v>
      </c>
      <c r="S178" s="386">
        <v>0</v>
      </c>
      <c r="T178" s="386">
        <f t="shared" si="6"/>
        <v>60000</v>
      </c>
      <c r="U178" s="456"/>
    </row>
    <row r="179" spans="1:21" ht="45">
      <c r="A179" s="444">
        <f t="shared" si="7"/>
        <v>166</v>
      </c>
      <c r="B179" s="445"/>
      <c r="C179" s="446"/>
      <c r="D179" s="446"/>
      <c r="E179" s="446"/>
      <c r="F179" s="446"/>
      <c r="G179" s="446"/>
      <c r="H179" s="446"/>
      <c r="I179" s="447" t="s">
        <v>1196</v>
      </c>
      <c r="J179" s="448" t="s">
        <v>1078</v>
      </c>
      <c r="K179" s="449" t="s">
        <v>851</v>
      </c>
      <c r="L179" s="450" t="s">
        <v>852</v>
      </c>
      <c r="M179" s="451">
        <v>3360000</v>
      </c>
      <c r="N179" s="452">
        <f t="shared" si="5"/>
        <v>3360000</v>
      </c>
      <c r="O179" s="453" t="s">
        <v>101</v>
      </c>
      <c r="P179" s="454">
        <v>0</v>
      </c>
      <c r="Q179" s="455">
        <v>0</v>
      </c>
      <c r="R179" s="386">
        <v>0</v>
      </c>
      <c r="S179" s="386">
        <v>0</v>
      </c>
      <c r="T179" s="386">
        <f t="shared" si="6"/>
        <v>3360000</v>
      </c>
      <c r="U179" s="456"/>
    </row>
    <row r="180" spans="1:21" ht="45">
      <c r="A180" s="444">
        <f t="shared" si="7"/>
        <v>167</v>
      </c>
      <c r="B180" s="445"/>
      <c r="C180" s="446"/>
      <c r="D180" s="446"/>
      <c r="E180" s="446"/>
      <c r="F180" s="446"/>
      <c r="G180" s="446"/>
      <c r="H180" s="446"/>
      <c r="I180" s="447" t="s">
        <v>1197</v>
      </c>
      <c r="J180" s="448" t="s">
        <v>1198</v>
      </c>
      <c r="K180" s="449" t="s">
        <v>851</v>
      </c>
      <c r="L180" s="450" t="s">
        <v>852</v>
      </c>
      <c r="M180" s="451">
        <v>300000</v>
      </c>
      <c r="N180" s="452">
        <f t="shared" si="5"/>
        <v>300000</v>
      </c>
      <c r="O180" s="453" t="s">
        <v>101</v>
      </c>
      <c r="P180" s="454">
        <v>0</v>
      </c>
      <c r="Q180" s="455">
        <v>0</v>
      </c>
      <c r="R180" s="386">
        <v>0</v>
      </c>
      <c r="S180" s="386">
        <v>0</v>
      </c>
      <c r="T180" s="386">
        <f t="shared" si="6"/>
        <v>300000</v>
      </c>
      <c r="U180" s="456"/>
    </row>
    <row r="181" spans="1:21" ht="60">
      <c r="A181" s="444">
        <f t="shared" si="7"/>
        <v>168</v>
      </c>
      <c r="B181" s="445"/>
      <c r="C181" s="446"/>
      <c r="D181" s="446"/>
      <c r="E181" s="446"/>
      <c r="F181" s="446"/>
      <c r="G181" s="446"/>
      <c r="H181" s="446"/>
      <c r="I181" s="447" t="s">
        <v>1199</v>
      </c>
      <c r="J181" s="448" t="s">
        <v>1200</v>
      </c>
      <c r="K181" s="449" t="s">
        <v>862</v>
      </c>
      <c r="L181" s="450" t="s">
        <v>852</v>
      </c>
      <c r="M181" s="451">
        <v>59000</v>
      </c>
      <c r="N181" s="452">
        <f t="shared" si="5"/>
        <v>59000</v>
      </c>
      <c r="O181" s="453" t="s">
        <v>101</v>
      </c>
      <c r="P181" s="454">
        <v>0</v>
      </c>
      <c r="Q181" s="455">
        <v>0</v>
      </c>
      <c r="R181" s="386">
        <v>0</v>
      </c>
      <c r="S181" s="386">
        <v>0</v>
      </c>
      <c r="T181" s="386">
        <f t="shared" si="6"/>
        <v>59000</v>
      </c>
      <c r="U181" s="456"/>
    </row>
    <row r="182" spans="1:21" ht="45">
      <c r="A182" s="444">
        <f t="shared" si="7"/>
        <v>169</v>
      </c>
      <c r="B182" s="445"/>
      <c r="C182" s="446"/>
      <c r="D182" s="446"/>
      <c r="E182" s="446"/>
      <c r="F182" s="446"/>
      <c r="G182" s="446"/>
      <c r="H182" s="446"/>
      <c r="I182" s="447" t="s">
        <v>1201</v>
      </c>
      <c r="J182" s="448" t="s">
        <v>1202</v>
      </c>
      <c r="K182" s="449" t="s">
        <v>862</v>
      </c>
      <c r="L182" s="450" t="s">
        <v>852</v>
      </c>
      <c r="M182" s="451">
        <v>59000</v>
      </c>
      <c r="N182" s="452">
        <f t="shared" si="5"/>
        <v>59000</v>
      </c>
      <c r="O182" s="453" t="s">
        <v>101</v>
      </c>
      <c r="P182" s="454">
        <v>0</v>
      </c>
      <c r="Q182" s="455">
        <v>0</v>
      </c>
      <c r="R182" s="386">
        <v>0</v>
      </c>
      <c r="S182" s="386">
        <v>0</v>
      </c>
      <c r="T182" s="386">
        <f t="shared" si="6"/>
        <v>59000</v>
      </c>
      <c r="U182" s="456"/>
    </row>
    <row r="183" spans="1:21" ht="45">
      <c r="A183" s="444">
        <f t="shared" si="7"/>
        <v>170</v>
      </c>
      <c r="B183" s="445"/>
      <c r="C183" s="446"/>
      <c r="D183" s="446"/>
      <c r="E183" s="446"/>
      <c r="F183" s="446"/>
      <c r="G183" s="446"/>
      <c r="H183" s="446"/>
      <c r="I183" s="447" t="s">
        <v>1203</v>
      </c>
      <c r="J183" s="448" t="s">
        <v>1204</v>
      </c>
      <c r="K183" s="449" t="s">
        <v>862</v>
      </c>
      <c r="L183" s="450" t="s">
        <v>852</v>
      </c>
      <c r="M183" s="451">
        <v>59000</v>
      </c>
      <c r="N183" s="452">
        <f t="shared" si="5"/>
        <v>59000</v>
      </c>
      <c r="O183" s="453" t="s">
        <v>101</v>
      </c>
      <c r="P183" s="454">
        <v>0</v>
      </c>
      <c r="Q183" s="455">
        <v>0</v>
      </c>
      <c r="R183" s="386">
        <v>0</v>
      </c>
      <c r="S183" s="386">
        <v>0</v>
      </c>
      <c r="T183" s="386">
        <f t="shared" si="6"/>
        <v>59000</v>
      </c>
      <c r="U183" s="456"/>
    </row>
    <row r="184" spans="1:21" ht="60">
      <c r="A184" s="444">
        <f t="shared" si="7"/>
        <v>171</v>
      </c>
      <c r="B184" s="445"/>
      <c r="C184" s="446"/>
      <c r="D184" s="446"/>
      <c r="E184" s="446"/>
      <c r="F184" s="446"/>
      <c r="G184" s="446"/>
      <c r="H184" s="446"/>
      <c r="I184" s="447" t="s">
        <v>1205</v>
      </c>
      <c r="J184" s="448" t="s">
        <v>1206</v>
      </c>
      <c r="K184" s="449" t="s">
        <v>862</v>
      </c>
      <c r="L184" s="450" t="s">
        <v>852</v>
      </c>
      <c r="M184" s="451">
        <v>59000</v>
      </c>
      <c r="N184" s="452">
        <f t="shared" si="5"/>
        <v>59000</v>
      </c>
      <c r="O184" s="453" t="s">
        <v>101</v>
      </c>
      <c r="P184" s="454">
        <v>0</v>
      </c>
      <c r="Q184" s="455">
        <v>0</v>
      </c>
      <c r="R184" s="386">
        <v>0</v>
      </c>
      <c r="S184" s="386">
        <v>0</v>
      </c>
      <c r="T184" s="386">
        <f t="shared" si="6"/>
        <v>59000</v>
      </c>
      <c r="U184" s="456"/>
    </row>
    <row r="185" spans="1:21" ht="60">
      <c r="A185" s="444">
        <f t="shared" si="7"/>
        <v>172</v>
      </c>
      <c r="B185" s="445"/>
      <c r="C185" s="446"/>
      <c r="D185" s="446"/>
      <c r="E185" s="446"/>
      <c r="F185" s="446"/>
      <c r="G185" s="446"/>
      <c r="H185" s="446"/>
      <c r="I185" s="447" t="s">
        <v>1207</v>
      </c>
      <c r="J185" s="448" t="s">
        <v>1208</v>
      </c>
      <c r="K185" s="449" t="s">
        <v>862</v>
      </c>
      <c r="L185" s="450" t="s">
        <v>852</v>
      </c>
      <c r="M185" s="451">
        <v>59000</v>
      </c>
      <c r="N185" s="452">
        <f t="shared" si="5"/>
        <v>59000</v>
      </c>
      <c r="O185" s="453" t="s">
        <v>101</v>
      </c>
      <c r="P185" s="454">
        <v>0</v>
      </c>
      <c r="Q185" s="455">
        <v>0</v>
      </c>
      <c r="R185" s="386">
        <v>0</v>
      </c>
      <c r="S185" s="386">
        <v>0</v>
      </c>
      <c r="T185" s="386">
        <f t="shared" si="6"/>
        <v>59000</v>
      </c>
      <c r="U185" s="456"/>
    </row>
    <row r="186" spans="1:21" ht="45">
      <c r="A186" s="444">
        <f t="shared" si="7"/>
        <v>173</v>
      </c>
      <c r="B186" s="445"/>
      <c r="C186" s="446"/>
      <c r="D186" s="446"/>
      <c r="E186" s="446"/>
      <c r="F186" s="446"/>
      <c r="G186" s="446"/>
      <c r="H186" s="446"/>
      <c r="I186" s="447" t="s">
        <v>1209</v>
      </c>
      <c r="J186" s="448" t="s">
        <v>1210</v>
      </c>
      <c r="K186" s="449" t="s">
        <v>862</v>
      </c>
      <c r="L186" s="450" t="s">
        <v>852</v>
      </c>
      <c r="M186" s="451">
        <v>59000</v>
      </c>
      <c r="N186" s="452">
        <f t="shared" si="5"/>
        <v>59000</v>
      </c>
      <c r="O186" s="453" t="s">
        <v>101</v>
      </c>
      <c r="P186" s="454">
        <v>0</v>
      </c>
      <c r="Q186" s="455">
        <v>0</v>
      </c>
      <c r="R186" s="386">
        <v>0</v>
      </c>
      <c r="S186" s="386">
        <v>0</v>
      </c>
      <c r="T186" s="386">
        <f t="shared" si="6"/>
        <v>59000</v>
      </c>
      <c r="U186" s="456"/>
    </row>
    <row r="187" spans="1:21" ht="45">
      <c r="A187" s="444">
        <f t="shared" si="7"/>
        <v>174</v>
      </c>
      <c r="B187" s="445"/>
      <c r="C187" s="446"/>
      <c r="D187" s="446"/>
      <c r="E187" s="446"/>
      <c r="F187" s="446"/>
      <c r="G187" s="446"/>
      <c r="H187" s="446"/>
      <c r="I187" s="447" t="s">
        <v>1211</v>
      </c>
      <c r="J187" s="448" t="s">
        <v>1212</v>
      </c>
      <c r="K187" s="449" t="s">
        <v>862</v>
      </c>
      <c r="L187" s="450" t="s">
        <v>852</v>
      </c>
      <c r="M187" s="451">
        <v>59000</v>
      </c>
      <c r="N187" s="452">
        <f t="shared" si="5"/>
        <v>59000</v>
      </c>
      <c r="O187" s="453" t="s">
        <v>101</v>
      </c>
      <c r="P187" s="454">
        <v>0</v>
      </c>
      <c r="Q187" s="455">
        <v>0</v>
      </c>
      <c r="R187" s="386">
        <v>0</v>
      </c>
      <c r="S187" s="386">
        <v>0</v>
      </c>
      <c r="T187" s="386">
        <f t="shared" si="6"/>
        <v>59000</v>
      </c>
      <c r="U187" s="456"/>
    </row>
    <row r="188" spans="1:21" ht="75">
      <c r="A188" s="444">
        <f t="shared" si="7"/>
        <v>175</v>
      </c>
      <c r="B188" s="445"/>
      <c r="C188" s="446"/>
      <c r="D188" s="446"/>
      <c r="E188" s="446"/>
      <c r="F188" s="446"/>
      <c r="G188" s="446"/>
      <c r="H188" s="446"/>
      <c r="I188" s="447" t="s">
        <v>1213</v>
      </c>
      <c r="J188" s="448" t="s">
        <v>1214</v>
      </c>
      <c r="K188" s="449" t="s">
        <v>901</v>
      </c>
      <c r="L188" s="450" t="s">
        <v>852</v>
      </c>
      <c r="M188" s="451">
        <v>420000</v>
      </c>
      <c r="N188" s="452">
        <f t="shared" si="5"/>
        <v>420000</v>
      </c>
      <c r="O188" s="453" t="s">
        <v>101</v>
      </c>
      <c r="P188" s="454">
        <v>0</v>
      </c>
      <c r="Q188" s="455">
        <v>0</v>
      </c>
      <c r="R188" s="386">
        <v>0</v>
      </c>
      <c r="S188" s="386">
        <v>0</v>
      </c>
      <c r="T188" s="386">
        <f t="shared" si="6"/>
        <v>420000</v>
      </c>
      <c r="U188" s="456"/>
    </row>
    <row r="189" spans="1:21" ht="30">
      <c r="A189" s="444" t="s">
        <v>1215</v>
      </c>
      <c r="B189" s="445"/>
      <c r="C189" s="446"/>
      <c r="D189" s="446"/>
      <c r="E189" s="446"/>
      <c r="F189" s="446"/>
      <c r="G189" s="446"/>
      <c r="H189" s="446"/>
      <c r="I189" s="447"/>
      <c r="J189" s="448" t="s">
        <v>1216</v>
      </c>
      <c r="K189" s="449" t="s">
        <v>862</v>
      </c>
      <c r="L189" s="450" t="s">
        <v>852</v>
      </c>
      <c r="M189" s="451">
        <v>484288</v>
      </c>
      <c r="N189" s="452">
        <f t="shared" ref="N189" si="8">M189</f>
        <v>484288</v>
      </c>
      <c r="O189" s="453" t="s">
        <v>101</v>
      </c>
      <c r="P189" s="454">
        <v>0</v>
      </c>
      <c r="Q189" s="455">
        <v>0</v>
      </c>
      <c r="R189" s="386">
        <v>0</v>
      </c>
      <c r="S189" s="386">
        <v>0</v>
      </c>
      <c r="T189" s="386">
        <f t="shared" si="6"/>
        <v>484288</v>
      </c>
      <c r="U189" s="456"/>
    </row>
    <row r="190" spans="1:21" ht="21" thickBot="1">
      <c r="A190" s="569" t="s">
        <v>1217</v>
      </c>
      <c r="B190" s="570"/>
      <c r="C190" s="570"/>
      <c r="D190" s="570"/>
      <c r="E190" s="570"/>
      <c r="F190" s="570"/>
      <c r="G190" s="570"/>
      <c r="H190" s="570"/>
      <c r="I190" s="570"/>
      <c r="J190" s="570"/>
      <c r="K190" s="571"/>
      <c r="L190" s="457"/>
      <c r="M190" s="458">
        <f>SUM(M8:M189)</f>
        <v>50000000</v>
      </c>
      <c r="N190" s="458">
        <f>SUM(N8:N189)</f>
        <v>50000000</v>
      </c>
      <c r="O190" s="459"/>
      <c r="P190" s="460"/>
      <c r="Q190" s="461"/>
      <c r="R190" s="458">
        <f>SUM(R8:R189)</f>
        <v>0</v>
      </c>
      <c r="S190" s="458">
        <f>SUM(S8:S189)</f>
        <v>0</v>
      </c>
      <c r="T190" s="458">
        <f>SUM(T8:T189)</f>
        <v>50000000</v>
      </c>
      <c r="U190" s="462"/>
    </row>
  </sheetData>
  <mergeCells count="20">
    <mergeCell ref="J1:K1"/>
    <mergeCell ref="L1:L3"/>
    <mergeCell ref="M1:M3"/>
    <mergeCell ref="J2:K2"/>
    <mergeCell ref="A3:H3"/>
    <mergeCell ref="J3:K3"/>
    <mergeCell ref="U5:U7"/>
    <mergeCell ref="A190:K190"/>
    <mergeCell ref="O5:O7"/>
    <mergeCell ref="P5:P7"/>
    <mergeCell ref="Q5:Q7"/>
    <mergeCell ref="R5:R7"/>
    <mergeCell ref="S5:S7"/>
    <mergeCell ref="T5:T7"/>
    <mergeCell ref="I5:I7"/>
    <mergeCell ref="J5:J7"/>
    <mergeCell ref="K5:K7"/>
    <mergeCell ref="L5:L7"/>
    <mergeCell ref="M5:M7"/>
    <mergeCell ref="N5:N7"/>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election activeCell="D9" sqref="D9"/>
    </sheetView>
  </sheetViews>
  <sheetFormatPr defaultRowHeight="15"/>
  <cols>
    <col min="7" max="7" width="23.5703125" customWidth="1"/>
    <col min="8" max="8" width="13.28515625" customWidth="1"/>
    <col min="9" max="9" width="18.85546875" customWidth="1"/>
    <col min="10" max="10" width="14.28515625" customWidth="1"/>
    <col min="11" max="11" width="18.42578125" customWidth="1"/>
  </cols>
  <sheetData>
    <row r="1" spans="1:11" ht="18.75">
      <c r="A1" s="603" t="s">
        <v>805</v>
      </c>
      <c r="B1" s="603"/>
      <c r="C1" s="603"/>
      <c r="D1" s="603"/>
      <c r="E1" s="603"/>
      <c r="F1" s="603"/>
      <c r="G1" s="603"/>
      <c r="H1" s="603"/>
      <c r="I1" s="603"/>
      <c r="J1" s="603"/>
      <c r="K1" s="603"/>
    </row>
    <row r="2" spans="1:11" ht="58.5" customHeight="1">
      <c r="A2" s="604" t="s">
        <v>806</v>
      </c>
      <c r="B2" s="604"/>
      <c r="C2" s="604"/>
      <c r="D2" s="604"/>
      <c r="E2" s="604"/>
      <c r="F2" s="604"/>
      <c r="G2" s="604"/>
      <c r="H2" s="604"/>
      <c r="I2" s="604"/>
      <c r="J2" s="604"/>
      <c r="K2" s="604"/>
    </row>
    <row r="3" spans="1:11" ht="31.5">
      <c r="A3" s="605" t="s">
        <v>807</v>
      </c>
      <c r="B3" s="605"/>
      <c r="C3" s="605"/>
      <c r="D3" s="605"/>
      <c r="E3" s="605"/>
      <c r="F3" s="605"/>
      <c r="G3" s="381" t="s">
        <v>808</v>
      </c>
      <c r="H3" s="381" t="s">
        <v>809</v>
      </c>
      <c r="I3" s="381" t="s">
        <v>810</v>
      </c>
      <c r="J3" s="381" t="s">
        <v>811</v>
      </c>
      <c r="K3" s="381" t="s">
        <v>812</v>
      </c>
    </row>
    <row r="4" spans="1:11" ht="15.75">
      <c r="A4" s="602">
        <v>1</v>
      </c>
      <c r="B4" s="602"/>
      <c r="C4" s="382" t="s">
        <v>813</v>
      </c>
      <c r="D4" s="383"/>
      <c r="E4" s="382"/>
      <c r="F4" s="384"/>
      <c r="G4" s="384" t="s">
        <v>814</v>
      </c>
      <c r="H4" s="385"/>
      <c r="I4" s="386">
        <v>147775000</v>
      </c>
      <c r="J4" s="386"/>
      <c r="K4" s="387" t="s">
        <v>35</v>
      </c>
    </row>
    <row r="5" spans="1:11" ht="15.75">
      <c r="A5" s="606">
        <v>2</v>
      </c>
      <c r="B5" s="606"/>
      <c r="C5" s="388" t="s">
        <v>815</v>
      </c>
      <c r="D5" s="389"/>
      <c r="E5" s="388"/>
      <c r="F5" s="390"/>
      <c r="G5" s="390" t="s">
        <v>816</v>
      </c>
      <c r="H5" s="391"/>
      <c r="I5" s="391">
        <v>15000000</v>
      </c>
      <c r="J5" s="391"/>
      <c r="K5" s="392" t="s">
        <v>35</v>
      </c>
    </row>
    <row r="6" spans="1:11" ht="15.75">
      <c r="A6" s="602">
        <v>3</v>
      </c>
      <c r="B6" s="602"/>
      <c r="C6" s="382" t="s">
        <v>817</v>
      </c>
      <c r="D6" s="383"/>
      <c r="E6" s="382"/>
      <c r="F6" s="384"/>
      <c r="G6" s="384" t="s">
        <v>816</v>
      </c>
      <c r="H6" s="386"/>
      <c r="I6" s="386"/>
      <c r="J6" s="386">
        <v>24000000</v>
      </c>
      <c r="K6" s="387" t="s">
        <v>35</v>
      </c>
    </row>
  </sheetData>
  <mergeCells count="6">
    <mergeCell ref="A6:B6"/>
    <mergeCell ref="A1:K1"/>
    <mergeCell ref="A2:K2"/>
    <mergeCell ref="A3:F3"/>
    <mergeCell ref="A4:B4"/>
    <mergeCell ref="A5:B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Cumulative 18-19 Totals</vt:lpstr>
      <vt:lpstr>DPS 18-19</vt:lpstr>
      <vt:lpstr>TMD 18-19</vt:lpstr>
      <vt:lpstr>TMD Sup.</vt:lpstr>
      <vt:lpstr>TPWD 18-19</vt:lpstr>
      <vt:lpstr>TDCJ 18-19</vt:lpstr>
      <vt:lpstr>TFC 18-19</vt:lpstr>
      <vt:lpstr>TxDOT 18-19</vt:lpstr>
      <vt:lpstr>TxDOT Space Needs</vt:lpstr>
      <vt:lpstr>TxDOT New Construction 18-19</vt:lpstr>
      <vt:lpstr>THC 18-19</vt:lpstr>
      <vt:lpstr>THC Sup.</vt:lpstr>
      <vt:lpstr>SPB 18-19</vt:lpstr>
      <vt:lpstr>DSHS 18-19</vt:lpstr>
      <vt:lpstr>HHSC 18-19 State Hospitals </vt:lpstr>
      <vt:lpstr>HHSC 18-19 SSLC</vt:lpstr>
      <vt:lpstr>JJD 18-19</vt:lpstr>
    </vt:vector>
  </TitlesOfParts>
  <Company>Texas Legislative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Leggett</dc:creator>
  <cp:lastModifiedBy>Adam Leggett</cp:lastModifiedBy>
  <cp:lastPrinted>2017-10-20T20:28:10Z</cp:lastPrinted>
  <dcterms:created xsi:type="dcterms:W3CDTF">2017-10-05T18:21:26Z</dcterms:created>
  <dcterms:modified xsi:type="dcterms:W3CDTF">2017-11-01T15:58:15Z</dcterms:modified>
</cp:coreProperties>
</file>